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300" windowWidth="22260" windowHeight="12345" activeTab="1"/>
  </bookViews>
  <sheets>
    <sheet name="Legend" sheetId="11" r:id="rId1"/>
    <sheet name="Input" sheetId="8" r:id="rId2"/>
    <sheet name="ASFORESEE1 Defensive Facility" sheetId="7" r:id="rId3"/>
    <sheet name="ASFORESEE2 Risk" sheetId="9" r:id="rId4"/>
    <sheet name="ASFORESEE1&amp;2 Forest Management" sheetId="6" r:id="rId5"/>
    <sheet name="Output" sheetId="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7" l="1"/>
  <c r="B8" i="7"/>
  <c r="B7" i="1" l="1"/>
  <c r="B6" i="1"/>
  <c r="B3" i="1"/>
  <c r="B55" i="9"/>
  <c r="B58" i="9" s="1"/>
  <c r="B36" i="9"/>
  <c r="B52" i="9"/>
  <c r="B57" i="9" s="1"/>
  <c r="B60" i="9" s="1"/>
  <c r="B51" i="9"/>
  <c r="B56" i="9" s="1"/>
  <c r="B59" i="9" s="1"/>
  <c r="B49" i="9"/>
  <c r="B39" i="9"/>
  <c r="B33" i="9"/>
  <c r="B38" i="9" s="1"/>
  <c r="B41" i="9" s="1"/>
  <c r="B30" i="9"/>
  <c r="B17" i="9"/>
  <c r="B20" i="9" s="1"/>
  <c r="B14" i="9"/>
  <c r="B19" i="9" s="1"/>
  <c r="B13" i="9"/>
  <c r="B18" i="9" s="1"/>
  <c r="B11" i="9"/>
  <c r="B10" i="9"/>
  <c r="F33" i="7"/>
  <c r="B33" i="7"/>
  <c r="B8" i="1" l="1"/>
  <c r="B61" i="9"/>
  <c r="B62" i="9" l="1"/>
  <c r="B63" i="9" s="1"/>
  <c r="B22" i="9" l="1"/>
  <c r="B21" i="9" l="1"/>
  <c r="B23" i="9" s="1"/>
  <c r="B24" i="9" s="1"/>
  <c r="B25" i="9" l="1"/>
  <c r="G13" i="6" l="1"/>
  <c r="B99" i="6" l="1"/>
  <c r="G145" i="6" l="1"/>
  <c r="G121" i="6"/>
  <c r="G122" i="6"/>
  <c r="G97" i="6"/>
  <c r="G99" i="6"/>
  <c r="I107" i="6"/>
  <c r="G116" i="6" s="1"/>
  <c r="I108" i="6"/>
  <c r="G117" i="6" s="1"/>
  <c r="I109" i="6"/>
  <c r="G118" i="6" s="1"/>
  <c r="I110" i="6"/>
  <c r="G119" i="6" s="1"/>
  <c r="I111" i="6"/>
  <c r="G120" i="6" s="1"/>
  <c r="G125" i="6"/>
  <c r="G57" i="6"/>
  <c r="G33" i="6"/>
  <c r="G34" i="6"/>
  <c r="G14" i="6"/>
  <c r="G11" i="6"/>
  <c r="G37" i="6"/>
  <c r="I23" i="6"/>
  <c r="G32" i="6" s="1"/>
  <c r="I22" i="6"/>
  <c r="G31" i="6" s="1"/>
  <c r="I21" i="6"/>
  <c r="G30" i="6" s="1"/>
  <c r="I20" i="6"/>
  <c r="G29" i="6" s="1"/>
  <c r="I19" i="6"/>
  <c r="G28" i="6" s="1"/>
  <c r="B11" i="6"/>
  <c r="B145" i="6"/>
  <c r="B13" i="6"/>
  <c r="B14" i="6" s="1"/>
  <c r="B16" i="6" s="1"/>
  <c r="B57" i="6"/>
  <c r="B125" i="6"/>
  <c r="B37" i="6"/>
  <c r="B121" i="6"/>
  <c r="B122" i="6"/>
  <c r="D111" i="6"/>
  <c r="B120" i="6" s="1"/>
  <c r="D110" i="6"/>
  <c r="B119" i="6" s="1"/>
  <c r="D109" i="6"/>
  <c r="B118" i="6" s="1"/>
  <c r="D108" i="6"/>
  <c r="B117" i="6" s="1"/>
  <c r="D107" i="6"/>
  <c r="B116" i="6" s="1"/>
  <c r="B33" i="6"/>
  <c r="B34" i="6"/>
  <c r="B146" i="6" l="1"/>
  <c r="G146" i="6"/>
  <c r="G58" i="6"/>
  <c r="G16" i="6"/>
  <c r="G15" i="6"/>
  <c r="G101" i="6" l="1"/>
  <c r="G102" i="6" s="1"/>
  <c r="G76" i="6"/>
  <c r="G77" i="6" s="1"/>
  <c r="G61" i="6"/>
  <c r="G63" i="6" s="1"/>
  <c r="G42" i="6"/>
  <c r="G49" i="6" s="1"/>
  <c r="G41" i="6"/>
  <c r="G48" i="6" s="1"/>
  <c r="G43" i="6"/>
  <c r="G50" i="6" s="1"/>
  <c r="G44" i="6"/>
  <c r="G51" i="6" s="1"/>
  <c r="G69" i="6"/>
  <c r="G71" i="6" s="1"/>
  <c r="G104" i="6" l="1"/>
  <c r="G103" i="6"/>
  <c r="G64" i="6"/>
  <c r="G65" i="6" s="1"/>
  <c r="G66" i="6" s="1"/>
  <c r="G78" i="6"/>
  <c r="G79" i="6" s="1"/>
  <c r="G80" i="6" s="1"/>
  <c r="G92" i="6"/>
  <c r="G93" i="6" s="1"/>
  <c r="G70" i="6"/>
  <c r="G72" i="6" s="1"/>
  <c r="G73" i="6" s="1"/>
  <c r="G131" i="6" l="1"/>
  <c r="G138" i="6" s="1"/>
  <c r="G164" i="6"/>
  <c r="G149" i="6"/>
  <c r="G130" i="6"/>
  <c r="G137" i="6" s="1"/>
  <c r="G129" i="6"/>
  <c r="G136" i="6" s="1"/>
  <c r="G132" i="6"/>
  <c r="G139" i="6" s="1"/>
  <c r="G157" i="6"/>
  <c r="G84" i="6"/>
  <c r="G83" i="6"/>
  <c r="G158" i="6" l="1"/>
  <c r="G159" i="6"/>
  <c r="G151" i="6"/>
  <c r="G152" i="6"/>
  <c r="G166" i="6"/>
  <c r="G165" i="6"/>
  <c r="G180" i="6"/>
  <c r="G181" i="6" s="1"/>
  <c r="G85" i="6"/>
  <c r="G87" i="6" s="1"/>
  <c r="G88" i="6" s="1"/>
  <c r="G89" i="6" s="1"/>
  <c r="G171" i="6" l="1"/>
  <c r="G160" i="6"/>
  <c r="G161" i="6" s="1"/>
  <c r="G153" i="6"/>
  <c r="G154" i="6" s="1"/>
  <c r="G172" i="6"/>
  <c r="G167" i="6"/>
  <c r="G168" i="6" s="1"/>
  <c r="G173" i="6" l="1"/>
  <c r="G175" i="6" s="1"/>
  <c r="G176" i="6" l="1"/>
  <c r="B15" i="6"/>
  <c r="B101" i="6" s="1"/>
  <c r="G177" i="6" l="1"/>
  <c r="B102" i="6"/>
  <c r="B104" i="6" s="1"/>
  <c r="B149" i="6" l="1"/>
  <c r="B164" i="6"/>
  <c r="B157" i="6"/>
  <c r="B131" i="6"/>
  <c r="B138" i="6" s="1"/>
  <c r="B130" i="6"/>
  <c r="B137" i="6" s="1"/>
  <c r="B129" i="6"/>
  <c r="B136" i="6" s="1"/>
  <c r="B132" i="6"/>
  <c r="B139" i="6" s="1"/>
  <c r="B42" i="6"/>
  <c r="B41" i="6"/>
  <c r="B48" i="6" s="1"/>
  <c r="B43" i="6"/>
  <c r="B44" i="6"/>
  <c r="B103" i="6"/>
  <c r="B151" i="6" l="1"/>
  <c r="B152" i="6"/>
  <c r="B159" i="6"/>
  <c r="B158" i="6"/>
  <c r="B165" i="6"/>
  <c r="B180" i="6"/>
  <c r="B181" i="6" s="1"/>
  <c r="B166" i="6"/>
  <c r="B167" i="6" l="1"/>
  <c r="B168" i="6" s="1"/>
  <c r="B160" i="6"/>
  <c r="B161" i="6" s="1"/>
  <c r="B172" i="6"/>
  <c r="B153" i="6"/>
  <c r="B154" i="6" s="1"/>
  <c r="B171" i="6"/>
  <c r="B173" i="6" l="1"/>
  <c r="B175" i="6" s="1"/>
  <c r="B176" i="6" s="1"/>
  <c r="B177" i="6" l="1"/>
  <c r="F26" i="7" l="1"/>
  <c r="B26" i="7"/>
  <c r="B21" i="7" l="1"/>
  <c r="F21" i="7"/>
  <c r="B22" i="7" l="1"/>
  <c r="B23" i="7" s="1"/>
  <c r="F22" i="7"/>
  <c r="F23" i="7" s="1"/>
  <c r="F27" i="7" s="1"/>
  <c r="F29" i="7" s="1"/>
  <c r="B27" i="7" l="1"/>
  <c r="B29" i="7" s="1"/>
  <c r="B34" i="7" s="1"/>
  <c r="B4" i="7" s="1"/>
  <c r="F34" i="7"/>
  <c r="F4" i="7" s="1"/>
  <c r="F30" i="7"/>
  <c r="B110" i="8"/>
  <c r="B32" i="9" s="1"/>
  <c r="B37" i="9" s="1"/>
  <c r="B40" i="9" s="1"/>
  <c r="B42" i="9" s="1"/>
  <c r="B43" i="9" l="1"/>
  <c r="B44" i="9" s="1"/>
  <c r="B4" i="9" s="1"/>
  <c r="B30" i="7"/>
  <c r="B60" i="8" l="1"/>
  <c r="G45" i="6" l="1"/>
  <c r="G52" i="6" s="1"/>
  <c r="G53" i="6" s="1"/>
  <c r="G90" i="6" s="1"/>
  <c r="G133" i="6"/>
  <c r="G140" i="6" s="1"/>
  <c r="G141" i="6" s="1"/>
  <c r="G178" i="6" s="1"/>
  <c r="G179" i="6" s="1"/>
  <c r="B133" i="6"/>
  <c r="B140" i="6" s="1"/>
  <c r="B141" i="6" s="1"/>
  <c r="B178" i="6" s="1"/>
  <c r="B179" i="6" s="1"/>
  <c r="B45" i="6"/>
  <c r="D23" i="6"/>
  <c r="B32" i="6" s="1"/>
  <c r="D22" i="6"/>
  <c r="B31" i="6" s="1"/>
  <c r="D21" i="6"/>
  <c r="B30" i="6" s="1"/>
  <c r="D20" i="6"/>
  <c r="B29" i="6" s="1"/>
  <c r="D19" i="6"/>
  <c r="B28" i="6" s="1"/>
  <c r="G91" i="6" l="1"/>
  <c r="B6" i="6"/>
  <c r="B61" i="6"/>
  <c r="B63" i="6" s="1"/>
  <c r="B69" i="6"/>
  <c r="B76" i="6"/>
  <c r="B77" i="6" s="1"/>
  <c r="B51" i="6"/>
  <c r="B52" i="6"/>
  <c r="B50" i="6"/>
  <c r="B49" i="6"/>
  <c r="B71" i="6" l="1"/>
  <c r="B70" i="6"/>
  <c r="B64" i="6"/>
  <c r="B78" i="6"/>
  <c r="B92" i="6"/>
  <c r="B93" i="6" s="1"/>
  <c r="B53" i="6"/>
  <c r="B72" i="6" l="1"/>
  <c r="B73" i="6" s="1"/>
  <c r="B79" i="6"/>
  <c r="B80" i="6" s="1"/>
  <c r="B83" i="6"/>
  <c r="B65" i="6" l="1"/>
  <c r="B66" i="6" s="1"/>
  <c r="B58" i="6"/>
  <c r="B84" i="6" s="1"/>
  <c r="B85" i="6" s="1"/>
  <c r="B87" i="6" l="1"/>
  <c r="B88" i="6" l="1"/>
  <c r="B90" i="6" s="1"/>
  <c r="B5" i="6" s="1"/>
  <c r="B7" i="6" s="1"/>
  <c r="B16" i="1" s="1"/>
  <c r="B21" i="1" l="1"/>
  <c r="B22" i="1" s="1"/>
  <c r="B23" i="1" s="1"/>
  <c r="B11" i="1"/>
  <c r="B12" i="1" s="1"/>
  <c r="B13" i="1" s="1"/>
  <c r="B26" i="1"/>
  <c r="B27" i="1" s="1"/>
  <c r="B28" i="1" s="1"/>
  <c r="B17" i="1"/>
  <c r="B18" i="1" s="1"/>
  <c r="B89" i="6"/>
  <c r="B91" i="6"/>
</calcChain>
</file>

<file path=xl/sharedStrings.xml><?xml version="1.0" encoding="utf-8"?>
<sst xmlns="http://schemas.openxmlformats.org/spreadsheetml/2006/main" count="993" uniqueCount="253">
  <si>
    <t>%</t>
  </si>
  <si>
    <t>m</t>
  </si>
  <si>
    <t>€</t>
  </si>
  <si>
    <t>h</t>
  </si>
  <si>
    <t>ha</t>
  </si>
  <si>
    <t>Volume/ha</t>
  </si>
  <si>
    <t>m3/ha</t>
  </si>
  <si>
    <t>€/ha</t>
  </si>
  <si>
    <t>mc/die</t>
  </si>
  <si>
    <t>€/mc</t>
  </si>
  <si>
    <t>h/die</t>
  </si>
  <si>
    <t>€/h</t>
  </si>
  <si>
    <t>mc</t>
  </si>
  <si>
    <t>-</t>
  </si>
  <si>
    <t>Volume</t>
  </si>
  <si>
    <t>m3</t>
  </si>
  <si>
    <t>Kjoule</t>
  </si>
  <si>
    <t>€/m2</t>
  </si>
  <si>
    <t>kjoule</t>
  </si>
  <si>
    <t>€/m</t>
  </si>
  <si>
    <t>y</t>
  </si>
  <si>
    <t>h/ha</t>
  </si>
  <si>
    <t>€/ha/y</t>
  </si>
  <si>
    <t>Case Study:</t>
  </si>
  <si>
    <t>Value</t>
  </si>
  <si>
    <t>Unit of Measure</t>
  </si>
  <si>
    <t>General</t>
  </si>
  <si>
    <t>Desired Protection Level from Stakeholders</t>
  </si>
  <si>
    <t>Timespan</t>
  </si>
  <si>
    <t>Interest Rate</t>
  </si>
  <si>
    <t>Data Source</t>
  </si>
  <si>
    <t>From Project</t>
  </si>
  <si>
    <t>Defensive Facility</t>
  </si>
  <si>
    <t>Forest management</t>
  </si>
  <si>
    <t>Lorem Ipsum, Italy</t>
  </si>
  <si>
    <t>Forest</t>
  </si>
  <si>
    <t>Yearly Increment</t>
  </si>
  <si>
    <t>Discounted Cost of the net barriers</t>
  </si>
  <si>
    <t>€/m²</t>
  </si>
  <si>
    <t>Net Barrier Cost</t>
  </si>
  <si>
    <t>for Max Kinetic Energy of 1000 KJ</t>
  </si>
  <si>
    <t>for Max Kinetic Energy of 1500 KJ</t>
  </si>
  <si>
    <t>for Max Kinetic Energy of 3000 KJ</t>
  </si>
  <si>
    <t>for Max Kinetic Energy of 2000 KJ</t>
  </si>
  <si>
    <t>for Max Kinetic Energy of &gt; 4500 KJ</t>
  </si>
  <si>
    <t>Range</t>
  </si>
  <si>
    <t>Block Factor</t>
  </si>
  <si>
    <t>Topographic factor</t>
  </si>
  <si>
    <t>1.00 to 1.20</t>
  </si>
  <si>
    <t>1.02 to 1.10</t>
  </si>
  <si>
    <t>m3/ha/y</t>
  </si>
  <si>
    <t>Forest interventions</t>
  </si>
  <si>
    <t>Block Exploitation Aptitude from SEM</t>
  </si>
  <si>
    <t>Year of Intervention</t>
  </si>
  <si>
    <t>Area of Intervention</t>
  </si>
  <si>
    <t>Harvest Intensity</t>
  </si>
  <si>
    <t>Safety Factors</t>
  </si>
  <si>
    <t>Human Risk Factor</t>
  </si>
  <si>
    <t>Timber Losses</t>
  </si>
  <si>
    <t>Operation</t>
  </si>
  <si>
    <t>Strategy</t>
  </si>
  <si>
    <t>Manpower</t>
  </si>
  <si>
    <t>Share of work (%)</t>
  </si>
  <si>
    <t>Harvest Leader</t>
  </si>
  <si>
    <t>Common Worker</t>
  </si>
  <si>
    <t>Assortments</t>
  </si>
  <si>
    <t>Beams</t>
  </si>
  <si>
    <t>First Quality Poles</t>
  </si>
  <si>
    <t>Second Quality Poles</t>
  </si>
  <si>
    <t>Firewood</t>
  </si>
  <si>
    <t>Chips</t>
  </si>
  <si>
    <t>Share of volume (%)</t>
  </si>
  <si>
    <t>Gross Wage (€/h)</t>
  </si>
  <si>
    <t>Market Price (€/mc)</t>
  </si>
  <si>
    <t>Machinery Costs</t>
  </si>
  <si>
    <t>Evaluation Approach</t>
  </si>
  <si>
    <t>Protection Demand Side</t>
  </si>
  <si>
    <t>To Be Computed</t>
  </si>
  <si>
    <t>/h</t>
  </si>
  <si>
    <t>€/mq</t>
  </si>
  <si>
    <t>OR</t>
  </si>
  <si>
    <t>Defensive facility: Design and Costs</t>
  </si>
  <si>
    <t>Design WITHOUT the forest</t>
  </si>
  <si>
    <t>Design WITH the forest</t>
  </si>
  <si>
    <t>Felling and Processing</t>
  </si>
  <si>
    <t>Bunching</t>
  </si>
  <si>
    <t>Extraction with Forwarder</t>
  </si>
  <si>
    <t>Extraction with Skidder</t>
  </si>
  <si>
    <t>Extraction by Hauling</t>
  </si>
  <si>
    <t>Skyline Yarding</t>
  </si>
  <si>
    <t>Tractor + Winch</t>
  </si>
  <si>
    <t>Chainsaw</t>
  </si>
  <si>
    <t>Skidder</t>
  </si>
  <si>
    <t>Forwarder</t>
  </si>
  <si>
    <t>Cable Logging</t>
  </si>
  <si>
    <t>Cable Yard</t>
  </si>
  <si>
    <t>Harvest Site Preparation</t>
  </si>
  <si>
    <t>Assets in Hazard Prone Areas</t>
  </si>
  <si>
    <t>Vulnerability</t>
  </si>
  <si>
    <t>Presence Probability</t>
  </si>
  <si>
    <t>Human Life Value</t>
  </si>
  <si>
    <t>Lethality</t>
  </si>
  <si>
    <t>Maximum Absorbable energy (kJ)</t>
  </si>
  <si>
    <t>Heigth</t>
  </si>
  <si>
    <t>Rockfall Net Energy Classes</t>
  </si>
  <si>
    <t>Rockfall Net Characteristics</t>
  </si>
  <si>
    <t>Kit Width</t>
  </si>
  <si>
    <t>Expected Service Life</t>
  </si>
  <si>
    <t>SEL Coefficient</t>
  </si>
  <si>
    <t>SEL Kinetic energy</t>
  </si>
  <si>
    <t>Kit Height</t>
  </si>
  <si>
    <t>Kit cost</t>
  </si>
  <si>
    <t>Building cost</t>
  </si>
  <si>
    <t>Number of Kit Needed</t>
  </si>
  <si>
    <t>Overall Kit cost</t>
  </si>
  <si>
    <t>Overall Facility Cost</t>
  </si>
  <si>
    <t>Unitary Facility Cost</t>
  </si>
  <si>
    <t>Number of Facility Replacements</t>
  </si>
  <si>
    <t>Removing and Replacing Cost</t>
  </si>
  <si>
    <t>A</t>
  </si>
  <si>
    <t>Intervention Typology</t>
  </si>
  <si>
    <t>Intervention number</t>
  </si>
  <si>
    <t>Current Volume</t>
  </si>
  <si>
    <t>Harvested volume</t>
  </si>
  <si>
    <t>Finale volume</t>
  </si>
  <si>
    <t>Extracted Wood volume</t>
  </si>
  <si>
    <t>Minimum Yield (mc/h/worker)</t>
  </si>
  <si>
    <t>Maximum Yield (mc/h/worker)</t>
  </si>
  <si>
    <t>Yield difference</t>
  </si>
  <si>
    <t>NA</t>
  </si>
  <si>
    <t>Operation Yields</t>
  </si>
  <si>
    <t>mc/h/worker</t>
  </si>
  <si>
    <t>Weighted Mean Cost</t>
  </si>
  <si>
    <t>REVENUES</t>
  </si>
  <si>
    <t>Wood Assortment</t>
  </si>
  <si>
    <t>Total</t>
  </si>
  <si>
    <t>Revenues</t>
  </si>
  <si>
    <t>COSTS</t>
  </si>
  <si>
    <t>Hours of Preparation</t>
  </si>
  <si>
    <t>Harvest Site Preparation Cost</t>
  </si>
  <si>
    <t>Chainsaw Daily Usage</t>
  </si>
  <si>
    <t>Chansaw Overall cost</t>
  </si>
  <si>
    <t>Mapower Cost</t>
  </si>
  <si>
    <t>Overall Felling and Processing Cost</t>
  </si>
  <si>
    <t>Unitary Cost</t>
  </si>
  <si>
    <t>Machinery Overall cost</t>
  </si>
  <si>
    <t>Overall Bunching Cost</t>
  </si>
  <si>
    <t>Extraction</t>
  </si>
  <si>
    <t>Duration</t>
  </si>
  <si>
    <t>Overall Extraction Cost</t>
  </si>
  <si>
    <t>Overall Machinery Cost</t>
  </si>
  <si>
    <t>Overall Manpower Cost</t>
  </si>
  <si>
    <t>Harvest Cost</t>
  </si>
  <si>
    <t>Share of General Costs</t>
  </si>
  <si>
    <t>Overall General Costs</t>
  </si>
  <si>
    <t>Overall Intervention Cost</t>
  </si>
  <si>
    <t>Stumpage Price</t>
  </si>
  <si>
    <t>Stumpage Value</t>
  </si>
  <si>
    <t>Intervention Duration</t>
  </si>
  <si>
    <t>Intervention Weighted Mean Yield</t>
  </si>
  <si>
    <t>Forest Management Cost</t>
  </si>
  <si>
    <t>Intervention Features</t>
  </si>
  <si>
    <t>RESUME</t>
  </si>
  <si>
    <t>Is this Intervention within the Timespan?</t>
  </si>
  <si>
    <t>Yield Difference</t>
  </si>
  <si>
    <t>Risk Evaluation</t>
  </si>
  <si>
    <t>Probabilities</t>
  </si>
  <si>
    <t>Block Release Probability</t>
  </si>
  <si>
    <t>Block Propagation Probability</t>
  </si>
  <si>
    <t>Movable Item Presence Probability</t>
  </si>
  <si>
    <t>People Presence Probability</t>
  </si>
  <si>
    <t>Damages</t>
  </si>
  <si>
    <t>Potential Damage to People</t>
  </si>
  <si>
    <t>Potential Damage to Real Estate</t>
  </si>
  <si>
    <t>Potential Damage to Movable Item</t>
  </si>
  <si>
    <t>Discounted Damage to Real Estate</t>
  </si>
  <si>
    <t>Discounted Damage to Movable Item</t>
  </si>
  <si>
    <t>Discounted Damage to People</t>
  </si>
  <si>
    <t>Overall Damage</t>
  </si>
  <si>
    <t>Overall Damage WITH Forest</t>
  </si>
  <si>
    <t>Time Division</t>
  </si>
  <si>
    <t>Year</t>
  </si>
  <si>
    <t>Hours per Day</t>
  </si>
  <si>
    <t>Minutes per Hour</t>
  </si>
  <si>
    <t>Days per Year</t>
  </si>
  <si>
    <t>Hours per Year</t>
  </si>
  <si>
    <t>Minutes per Year</t>
  </si>
  <si>
    <t>Overall Avoided Damage</t>
  </si>
  <si>
    <t>Damage Avoided by the Forest</t>
  </si>
  <si>
    <t>ASFORESEE/1 - Replacement Cost</t>
  </si>
  <si>
    <t>ASFORESEE/2 - Avoided Damages</t>
  </si>
  <si>
    <t>Common Data</t>
  </si>
  <si>
    <t>ASFORESEE/1 - Replacement Cost Approach</t>
  </si>
  <si>
    <t>ASFORESEE/2 - Avoided Damages Approach</t>
  </si>
  <si>
    <t>Is the Stakeholders Need for Protection Fulfilled?</t>
  </si>
  <si>
    <t>Has the Forest a Relevant Protection Role?</t>
  </si>
  <si>
    <t>Monetary Protection Value</t>
  </si>
  <si>
    <t>Unitary Protection Value</t>
  </si>
  <si>
    <t>Yearly Protection Value</t>
  </si>
  <si>
    <t>B (optional)</t>
  </si>
  <si>
    <t>IF "From Project"</t>
  </si>
  <si>
    <t>IF "To Be Computed"</t>
  </si>
  <si>
    <t>Not Available Yet</t>
  </si>
  <si>
    <t>Real Estate A</t>
  </si>
  <si>
    <t>Movable Item A</t>
  </si>
  <si>
    <t>People A</t>
  </si>
  <si>
    <t>Real Estate B (Optional)</t>
  </si>
  <si>
    <t>Movable Item B (Optional)</t>
  </si>
  <si>
    <t>People B (Optional)</t>
  </si>
  <si>
    <t>Real Estate C (Optional)</t>
  </si>
  <si>
    <t>Movable Item C (Optional)</t>
  </si>
  <si>
    <t>People C (Optional)</t>
  </si>
  <si>
    <t>Forest Effectiveness (ORPI) for Asset A</t>
  </si>
  <si>
    <t>Forest Effectiveness (ORPI) for Asset B (optional)</t>
  </si>
  <si>
    <t>Forest Effectiveness (ORPI) for Asset C (optional)</t>
  </si>
  <si>
    <t>Width to Be Protected For Asset A</t>
  </si>
  <si>
    <t>Width to Be Protected For Asset B (optional)</t>
  </si>
  <si>
    <t>Width to Be Protected For Asset C (optional)</t>
  </si>
  <si>
    <t>ETAG 027 Kinetic Energy</t>
  </si>
  <si>
    <t>Ancillary Expenditures</t>
  </si>
  <si>
    <t>Cost of Removing the Facility</t>
  </si>
  <si>
    <t>RESULT:</t>
  </si>
  <si>
    <t>COMPUTATION IN DETAILS:</t>
  </si>
  <si>
    <t>Overall Discounted Building Cost WITHOUT Forest</t>
  </si>
  <si>
    <t>Overall Discounted Building Cost WITH Forest</t>
  </si>
  <si>
    <t>Asset A</t>
  </si>
  <si>
    <t>Asset C (Optional)</t>
  </si>
  <si>
    <t>Asset B (Optional)</t>
  </si>
  <si>
    <t>Rockfall Event duration</t>
  </si>
  <si>
    <t>min</t>
  </si>
  <si>
    <t>Real Estate Presence Probability</t>
  </si>
  <si>
    <t>You selected the approach:</t>
  </si>
  <si>
    <t>Area of the Protection Forest</t>
  </si>
  <si>
    <t>The Forest Protection Value is Option:</t>
  </si>
  <si>
    <t>Overall Discounted Stumpage Value Intervention A</t>
  </si>
  <si>
    <t>Overall Discounted Stumpage Value Intervention B</t>
  </si>
  <si>
    <t>Overall Discounted Stumpage Value</t>
  </si>
  <si>
    <t>Kinetic Energy with Forest at Asset A</t>
  </si>
  <si>
    <t>Kinetic Energy without Forest at Asset A</t>
  </si>
  <si>
    <t>Legend</t>
  </si>
  <si>
    <t>Cells To Be Filled by the User</t>
  </si>
  <si>
    <t>Cells with Constant Data</t>
  </si>
  <si>
    <t>Cells with formulas</t>
  </si>
  <si>
    <t>Cells Exclusively Concerning the Replacement Cost Approach</t>
  </si>
  <si>
    <t>Cells Exclusively Concerning the Avoided Damages Approach</t>
  </si>
  <si>
    <t>Cells Pertaining to Both Approaches</t>
  </si>
  <si>
    <t>In Bold the Main Results of Each Page and the Headers of Each Section</t>
  </si>
  <si>
    <t>Time between Two Interventions</t>
  </si>
  <si>
    <t>Option A: the Forest Protection is Irrelevant and Insufficient</t>
  </si>
  <si>
    <t>Option A: the Forest Protection is Relevant But Insufficient</t>
  </si>
  <si>
    <t>Option A: the Forest Protection is Relevant and Sufficient</t>
  </si>
  <si>
    <t>Switch To Be Turned On/Off by the User (With 1 or 0)</t>
  </si>
  <si>
    <t>0,00 to 1,00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</si>
</sst>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"/>
    <numFmt numFmtId="166" formatCode="0.0000000000"/>
    <numFmt numFmtId="167" formatCode="0.000000"/>
    <numFmt numFmtId="168" formatCode="0.000000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3" borderId="1" applyNumberFormat="0" applyFont="0" applyAlignment="0" applyProtection="0"/>
  </cellStyleXfs>
  <cellXfs count="28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Font="1"/>
    <xf numFmtId="0" fontId="4" fillId="0" borderId="0" xfId="0" applyFont="1" applyFill="1"/>
    <xf numFmtId="0" fontId="3" fillId="0" borderId="0" xfId="0" applyFont="1" applyAlignment="1">
      <alignment horizontal="center"/>
    </xf>
    <xf numFmtId="0" fontId="0" fillId="0" borderId="0" xfId="0" applyBorder="1"/>
    <xf numFmtId="0" fontId="14" fillId="0" borderId="0" xfId="0" applyFont="1"/>
    <xf numFmtId="0" fontId="2" fillId="0" borderId="0" xfId="0" applyFont="1" applyBorder="1"/>
    <xf numFmtId="0" fontId="1" fillId="0" borderId="0" xfId="0" applyFont="1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0" fontId="15" fillId="0" borderId="0" xfId="0" applyFont="1"/>
    <xf numFmtId="0" fontId="3" fillId="0" borderId="0" xfId="0" applyFont="1" applyBorder="1"/>
    <xf numFmtId="0" fontId="12" fillId="0" borderId="0" xfId="0" applyFont="1" applyFill="1" applyBorder="1" applyAlignment="1">
      <alignment horizontal="left"/>
    </xf>
    <xf numFmtId="0" fontId="15" fillId="0" borderId="0" xfId="0" applyFont="1" applyBorder="1"/>
    <xf numFmtId="0" fontId="0" fillId="0" borderId="0" xfId="0" applyBorder="1" applyAlignment="1">
      <alignment wrapText="1"/>
    </xf>
    <xf numFmtId="0" fontId="16" fillId="0" borderId="0" xfId="0" applyFont="1"/>
    <xf numFmtId="0" fontId="17" fillId="0" borderId="0" xfId="0" applyFont="1" applyBorder="1"/>
    <xf numFmtId="0" fontId="0" fillId="2" borderId="0" xfId="0" applyFill="1"/>
    <xf numFmtId="2" fontId="6" fillId="0" borderId="0" xfId="0" applyNumberFormat="1" applyFont="1" applyFill="1" applyBorder="1"/>
    <xf numFmtId="0" fontId="18" fillId="0" borderId="0" xfId="0" applyFont="1"/>
    <xf numFmtId="0" fontId="3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5" fillId="3" borderId="1" xfId="1" applyFont="1" applyBorder="1"/>
    <xf numFmtId="0" fontId="2" fillId="0" borderId="5" xfId="0" applyFont="1" applyBorder="1"/>
    <xf numFmtId="0" fontId="0" fillId="0" borderId="6" xfId="0" applyBorder="1"/>
    <xf numFmtId="0" fontId="0" fillId="0" borderId="5" xfId="0" applyBorder="1"/>
    <xf numFmtId="0" fontId="15" fillId="3" borderId="7" xfId="1" applyFont="1" applyBorder="1"/>
    <xf numFmtId="0" fontId="0" fillId="0" borderId="5" xfId="0" applyFill="1" applyBorder="1"/>
    <xf numFmtId="0" fontId="0" fillId="0" borderId="6" xfId="0" applyFill="1" applyBorder="1"/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3" fillId="0" borderId="5" xfId="0" applyFont="1" applyBorder="1"/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2" fillId="0" borderId="5" xfId="0" applyFont="1" applyFill="1" applyBorder="1"/>
    <xf numFmtId="0" fontId="0" fillId="0" borderId="8" xfId="0" applyFill="1" applyBorder="1"/>
    <xf numFmtId="0" fontId="15" fillId="3" borderId="9" xfId="1" applyFont="1" applyBorder="1"/>
    <xf numFmtId="0" fontId="15" fillId="3" borderId="10" xfId="1" applyFont="1" applyBorder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2" fillId="0" borderId="6" xfId="0" applyFont="1" applyBorder="1"/>
    <xf numFmtId="0" fontId="0" fillId="0" borderId="8" xfId="0" applyBorder="1"/>
    <xf numFmtId="0" fontId="9" fillId="0" borderId="6" xfId="0" applyFont="1" applyBorder="1"/>
    <xf numFmtId="0" fontId="0" fillId="0" borderId="11" xfId="0" applyBorder="1"/>
    <xf numFmtId="0" fontId="2" fillId="0" borderId="8" xfId="0" applyFont="1" applyBorder="1"/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8" xfId="0" applyFont="1" applyFill="1" applyBorder="1"/>
    <xf numFmtId="164" fontId="9" fillId="0" borderId="0" xfId="0" applyNumberFormat="1" applyFont="1" applyFill="1" applyBorder="1"/>
    <xf numFmtId="2" fontId="9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/>
    <xf numFmtId="0" fontId="9" fillId="0" borderId="0" xfId="0" applyFont="1" applyFill="1" applyBorder="1" applyAlignment="1">
      <alignment horizontal="left" vertical="center"/>
    </xf>
    <xf numFmtId="1" fontId="9" fillId="0" borderId="0" xfId="0" applyNumberFormat="1" applyFont="1" applyFill="1" applyBorder="1" applyAlignment="1">
      <alignment horizontal="center"/>
    </xf>
    <xf numFmtId="0" fontId="9" fillId="0" borderId="5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2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wrapText="1"/>
    </xf>
    <xf numFmtId="164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18" fillId="0" borderId="0" xfId="0" applyFont="1" applyFill="1" applyBorder="1"/>
    <xf numFmtId="0" fontId="12" fillId="0" borderId="0" xfId="0" applyFont="1" applyFill="1" applyBorder="1"/>
    <xf numFmtId="0" fontId="20" fillId="0" borderId="0" xfId="0" applyFont="1" applyFill="1" applyBorder="1"/>
    <xf numFmtId="164" fontId="6" fillId="0" borderId="0" xfId="0" applyNumberFormat="1" applyFont="1" applyFill="1" applyBorder="1"/>
    <xf numFmtId="1" fontId="6" fillId="0" borderId="0" xfId="0" applyNumberFormat="1" applyFont="1" applyFill="1" applyBorder="1"/>
    <xf numFmtId="0" fontId="6" fillId="0" borderId="0" xfId="0" applyFont="1" applyFill="1" applyBorder="1"/>
    <xf numFmtId="10" fontId="6" fillId="0" borderId="0" xfId="0" applyNumberFormat="1" applyFont="1" applyFill="1" applyBorder="1"/>
    <xf numFmtId="0" fontId="18" fillId="0" borderId="2" xfId="0" applyFont="1" applyFill="1" applyBorder="1"/>
    <xf numFmtId="0" fontId="9" fillId="0" borderId="3" xfId="0" applyFont="1" applyFill="1" applyBorder="1"/>
    <xf numFmtId="0" fontId="9" fillId="0" borderId="4" xfId="0" applyFont="1" applyFill="1" applyBorder="1"/>
    <xf numFmtId="0" fontId="9" fillId="0" borderId="6" xfId="0" applyFont="1" applyFill="1" applyBorder="1"/>
    <xf numFmtId="0" fontId="9" fillId="0" borderId="5" xfId="0" applyFont="1" applyFill="1" applyBorder="1" applyAlignment="1">
      <alignment horizontal="left"/>
    </xf>
    <xf numFmtId="0" fontId="18" fillId="0" borderId="5" xfId="0" applyFont="1" applyFill="1" applyBorder="1"/>
    <xf numFmtId="2" fontId="9" fillId="0" borderId="6" xfId="0" applyNumberFormat="1" applyFont="1" applyFill="1" applyBorder="1" applyAlignment="1">
      <alignment horizontal="center"/>
    </xf>
    <xf numFmtId="2" fontId="9" fillId="0" borderId="6" xfId="0" applyNumberFormat="1" applyFont="1" applyFill="1" applyBorder="1"/>
    <xf numFmtId="164" fontId="9" fillId="0" borderId="6" xfId="0" applyNumberFormat="1" applyFont="1" applyFill="1" applyBorder="1"/>
    <xf numFmtId="2" fontId="6" fillId="0" borderId="12" xfId="0" applyNumberFormat="1" applyFont="1" applyFill="1" applyBorder="1"/>
    <xf numFmtId="0" fontId="9" fillId="0" borderId="12" xfId="0" applyFont="1" applyFill="1" applyBorder="1" applyAlignment="1">
      <alignment horizontal="left" vertical="center"/>
    </xf>
    <xf numFmtId="0" fontId="9" fillId="0" borderId="11" xfId="0" applyFont="1" applyFill="1" applyBorder="1"/>
    <xf numFmtId="1" fontId="6" fillId="0" borderId="12" xfId="0" applyNumberFormat="1" applyFont="1" applyFill="1" applyBorder="1"/>
    <xf numFmtId="0" fontId="9" fillId="0" borderId="12" xfId="0" applyFont="1" applyFill="1" applyBorder="1" applyAlignment="1">
      <alignment horizontal="left"/>
    </xf>
    <xf numFmtId="2" fontId="18" fillId="0" borderId="3" xfId="0" applyNumberFormat="1" applyFont="1" applyFill="1" applyBorder="1" applyAlignment="1">
      <alignment horizontal="center"/>
    </xf>
    <xf numFmtId="2" fontId="18" fillId="0" borderId="4" xfId="0" applyNumberFormat="1" applyFont="1" applyFill="1" applyBorder="1" applyAlignment="1">
      <alignment horizontal="center"/>
    </xf>
    <xf numFmtId="2" fontId="9" fillId="0" borderId="12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2" fontId="9" fillId="0" borderId="3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/>
    </xf>
    <xf numFmtId="164" fontId="6" fillId="0" borderId="12" xfId="0" applyNumberFormat="1" applyFont="1" applyFill="1" applyBorder="1"/>
    <xf numFmtId="0" fontId="9" fillId="0" borderId="12" xfId="0" applyFont="1" applyFill="1" applyBorder="1"/>
    <xf numFmtId="2" fontId="9" fillId="0" borderId="11" xfId="0" applyNumberFormat="1" applyFont="1" applyFill="1" applyBorder="1"/>
    <xf numFmtId="164" fontId="18" fillId="0" borderId="3" xfId="0" applyNumberFormat="1" applyFont="1" applyFill="1" applyBorder="1"/>
    <xf numFmtId="2" fontId="9" fillId="0" borderId="3" xfId="0" applyNumberFormat="1" applyFont="1" applyFill="1" applyBorder="1"/>
    <xf numFmtId="2" fontId="9" fillId="0" borderId="4" xfId="0" applyNumberFormat="1" applyFont="1" applyFill="1" applyBorder="1"/>
    <xf numFmtId="2" fontId="9" fillId="0" borderId="12" xfId="0" applyNumberFormat="1" applyFont="1" applyFill="1" applyBorder="1"/>
    <xf numFmtId="0" fontId="9" fillId="0" borderId="3" xfId="0" applyFont="1" applyFill="1" applyBorder="1" applyAlignment="1">
      <alignment horizontal="center" vertical="center"/>
    </xf>
    <xf numFmtId="164" fontId="9" fillId="0" borderId="11" xfId="0" applyNumberFormat="1" applyFont="1" applyFill="1" applyBorder="1"/>
    <xf numFmtId="0" fontId="9" fillId="0" borderId="3" xfId="0" applyFont="1" applyFill="1" applyBorder="1" applyAlignment="1">
      <alignment horizontal="left" vertical="center"/>
    </xf>
    <xf numFmtId="164" fontId="9" fillId="0" borderId="4" xfId="0" applyNumberFormat="1" applyFont="1" applyFill="1" applyBorder="1"/>
    <xf numFmtId="0" fontId="18" fillId="0" borderId="0" xfId="0" applyFont="1" applyFill="1" applyBorder="1" applyAlignment="1">
      <alignment horizontal="center"/>
    </xf>
    <xf numFmtId="0" fontId="12" fillId="0" borderId="5" xfId="0" applyFont="1" applyFill="1" applyBorder="1"/>
    <xf numFmtId="1" fontId="10" fillId="0" borderId="0" xfId="0" applyNumberFormat="1" applyFont="1" applyFill="1" applyBorder="1"/>
    <xf numFmtId="0" fontId="12" fillId="0" borderId="0" xfId="0" applyFont="1" applyFill="1" applyBorder="1" applyAlignment="1">
      <alignment horizontal="left" vertical="center"/>
    </xf>
    <xf numFmtId="0" fontId="12" fillId="0" borderId="6" xfId="0" applyFont="1" applyFill="1" applyBorder="1"/>
    <xf numFmtId="0" fontId="12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2" fontId="10" fillId="0" borderId="0" xfId="0" applyNumberFormat="1" applyFont="1" applyFill="1" applyBorder="1"/>
    <xf numFmtId="0" fontId="12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/>
    <xf numFmtId="0" fontId="9" fillId="0" borderId="0" xfId="0" applyFont="1" applyFill="1" applyBorder="1" applyAlignment="1"/>
    <xf numFmtId="2" fontId="9" fillId="0" borderId="0" xfId="0" applyNumberFormat="1" applyFont="1" applyFill="1" applyBorder="1" applyAlignment="1"/>
    <xf numFmtId="1" fontId="9" fillId="0" borderId="0" xfId="0" applyNumberFormat="1" applyFont="1" applyFill="1" applyBorder="1" applyAlignment="1"/>
    <xf numFmtId="0" fontId="12" fillId="0" borderId="0" xfId="0" applyFont="1" applyFill="1" applyBorder="1" applyAlignment="1"/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/>
    <xf numFmtId="1" fontId="6" fillId="0" borderId="0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/>
    <xf numFmtId="0" fontId="0" fillId="0" borderId="12" xfId="0" applyBorder="1"/>
    <xf numFmtId="0" fontId="2" fillId="0" borderId="2" xfId="0" applyFont="1" applyBorder="1"/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Fill="1" applyBorder="1"/>
    <xf numFmtId="166" fontId="4" fillId="0" borderId="0" xfId="0" applyNumberFormat="1" applyFont="1" applyFill="1" applyBorder="1"/>
    <xf numFmtId="165" fontId="4" fillId="0" borderId="0" xfId="0" applyNumberFormat="1" applyFont="1" applyFill="1" applyBorder="1"/>
    <xf numFmtId="1" fontId="4" fillId="0" borderId="0" xfId="0" applyNumberFormat="1" applyFont="1" applyFill="1" applyBorder="1"/>
    <xf numFmtId="1" fontId="7" fillId="0" borderId="0" xfId="0" applyNumberFormat="1" applyFont="1" applyFill="1" applyBorder="1"/>
    <xf numFmtId="167" fontId="7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2" fillId="0" borderId="2" xfId="0" applyFont="1" applyFill="1" applyBorder="1"/>
    <xf numFmtId="0" fontId="2" fillId="0" borderId="4" xfId="0" applyFont="1" applyFill="1" applyBorder="1"/>
    <xf numFmtId="0" fontId="0" fillId="0" borderId="11" xfId="0" applyFill="1" applyBorder="1"/>
    <xf numFmtId="0" fontId="3" fillId="0" borderId="2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/>
    </xf>
    <xf numFmtId="0" fontId="0" fillId="0" borderId="5" xfId="0" applyFont="1" applyFill="1" applyBorder="1" applyAlignment="1">
      <alignment wrapText="1"/>
    </xf>
    <xf numFmtId="0" fontId="0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5" xfId="0" applyFont="1" applyFill="1" applyBorder="1"/>
    <xf numFmtId="0" fontId="3" fillId="0" borderId="8" xfId="0" applyFont="1" applyFill="1" applyBorder="1"/>
    <xf numFmtId="1" fontId="22" fillId="0" borderId="12" xfId="0" applyNumberFormat="1" applyFont="1" applyFill="1" applyBorder="1"/>
    <xf numFmtId="0" fontId="3" fillId="0" borderId="11" xfId="0" applyFont="1" applyFill="1" applyBorder="1"/>
    <xf numFmtId="0" fontId="0" fillId="0" borderId="0" xfId="0" applyFont="1" applyFill="1" applyBorder="1"/>
    <xf numFmtId="0" fontId="1" fillId="0" borderId="4" xfId="0" applyFont="1" applyBorder="1"/>
    <xf numFmtId="0" fontId="3" fillId="0" borderId="8" xfId="0" applyFont="1" applyBorder="1"/>
    <xf numFmtId="0" fontId="0" fillId="0" borderId="0" xfId="0" applyFont="1" applyFill="1"/>
    <xf numFmtId="0" fontId="0" fillId="0" borderId="0" xfId="0" applyFont="1" applyBorder="1"/>
    <xf numFmtId="0" fontId="1" fillId="0" borderId="0" xfId="0" applyFont="1" applyFill="1" applyBorder="1"/>
    <xf numFmtId="0" fontId="3" fillId="0" borderId="6" xfId="0" applyFont="1" applyFill="1" applyBorder="1" applyAlignment="1">
      <alignment horizontal="center"/>
    </xf>
    <xf numFmtId="0" fontId="13" fillId="4" borderId="7" xfId="1" applyFont="1" applyFill="1" applyBorder="1"/>
    <xf numFmtId="0" fontId="13" fillId="4" borderId="10" xfId="1" applyFont="1" applyFill="1" applyBorder="1"/>
    <xf numFmtId="0" fontId="2" fillId="0" borderId="0" xfId="0" applyFont="1" applyBorder="1" applyAlignment="1">
      <alignment horizontal="center"/>
    </xf>
    <xf numFmtId="0" fontId="15" fillId="4" borderId="1" xfId="1" applyFont="1" applyFill="1" applyBorder="1"/>
    <xf numFmtId="9" fontId="15" fillId="3" borderId="1" xfId="1" applyNumberFormat="1" applyFont="1" applyBorder="1"/>
    <xf numFmtId="0" fontId="5" fillId="0" borderId="0" xfId="0" applyFont="1" applyFill="1"/>
    <xf numFmtId="0" fontId="1" fillId="0" borderId="0" xfId="0" applyFont="1" applyFill="1"/>
    <xf numFmtId="164" fontId="0" fillId="0" borderId="0" xfId="0" applyNumberFormat="1" applyFill="1"/>
    <xf numFmtId="0" fontId="15" fillId="0" borderId="0" xfId="1" applyFont="1" applyFill="1" applyBorder="1"/>
    <xf numFmtId="0" fontId="15" fillId="0" borderId="0" xfId="0" applyFont="1" applyFill="1" applyBorder="1"/>
    <xf numFmtId="0" fontId="0" fillId="0" borderId="0" xfId="0" applyFill="1" applyBorder="1" applyAlignment="1">
      <alignment wrapText="1"/>
    </xf>
    <xf numFmtId="0" fontId="19" fillId="0" borderId="0" xfId="0" applyFont="1" applyFill="1" applyBorder="1"/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8" xfId="0" applyBorder="1" applyAlignment="1">
      <alignment wrapText="1"/>
    </xf>
    <xf numFmtId="0" fontId="15" fillId="4" borderId="9" xfId="1" applyFont="1" applyFill="1" applyBorder="1"/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3" xfId="0" applyFill="1" applyBorder="1"/>
    <xf numFmtId="0" fontId="0" fillId="0" borderId="4" xfId="0" applyFill="1" applyBorder="1"/>
    <xf numFmtId="0" fontId="2" fillId="0" borderId="6" xfId="0" applyFont="1" applyFill="1" applyBorder="1"/>
    <xf numFmtId="0" fontId="0" fillId="0" borderId="6" xfId="0" applyFont="1" applyFill="1" applyBorder="1"/>
    <xf numFmtId="0" fontId="0" fillId="0" borderId="6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3" fillId="0" borderId="6" xfId="0" applyFont="1" applyFill="1" applyBorder="1"/>
    <xf numFmtId="0" fontId="2" fillId="0" borderId="5" xfId="0" applyFont="1" applyFill="1" applyBorder="1" applyAlignment="1">
      <alignment horizontal="center" wrapText="1"/>
    </xf>
    <xf numFmtId="2" fontId="0" fillId="0" borderId="6" xfId="0" applyNumberFormat="1" applyFill="1" applyBorder="1" applyAlignment="1">
      <alignment wrapText="1"/>
    </xf>
    <xf numFmtId="2" fontId="0" fillId="0" borderId="6" xfId="0" applyNumberFormat="1" applyFill="1" applyBorder="1"/>
    <xf numFmtId="0" fontId="0" fillId="0" borderId="8" xfId="0" applyFont="1" applyFill="1" applyBorder="1"/>
    <xf numFmtId="0" fontId="0" fillId="0" borderId="4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3" fillId="0" borderId="4" xfId="0" applyFont="1" applyFill="1" applyBorder="1"/>
    <xf numFmtId="0" fontId="0" fillId="0" borderId="3" xfId="0" applyFill="1" applyBorder="1" applyAlignment="1">
      <alignment wrapText="1"/>
    </xf>
    <xf numFmtId="0" fontId="15" fillId="3" borderId="16" xfId="1" applyFont="1" applyBorder="1"/>
    <xf numFmtId="0" fontId="15" fillId="3" borderId="17" xfId="1" applyFont="1" applyBorder="1"/>
    <xf numFmtId="9" fontId="0" fillId="0" borderId="0" xfId="0" applyNumberFormat="1" applyFont="1" applyBorder="1"/>
    <xf numFmtId="1" fontId="6" fillId="0" borderId="12" xfId="0" applyNumberFormat="1" applyFont="1" applyBorder="1"/>
    <xf numFmtId="0" fontId="2" fillId="0" borderId="11" xfId="0" applyFont="1" applyBorder="1"/>
    <xf numFmtId="0" fontId="3" fillId="0" borderId="2" xfId="0" applyFont="1" applyFill="1" applyBorder="1" applyAlignment="1">
      <alignment horizontal="left"/>
    </xf>
    <xf numFmtId="0" fontId="6" fillId="0" borderId="3" xfId="0" applyFont="1" applyFill="1" applyBorder="1"/>
    <xf numFmtId="0" fontId="0" fillId="0" borderId="4" xfId="0" applyFont="1" applyFill="1" applyBorder="1"/>
    <xf numFmtId="0" fontId="3" fillId="5" borderId="13" xfId="0" applyFont="1" applyFill="1" applyBorder="1"/>
    <xf numFmtId="0" fontId="10" fillId="5" borderId="14" xfId="0" applyFont="1" applyFill="1" applyBorder="1"/>
    <xf numFmtId="0" fontId="3" fillId="5" borderId="15" xfId="0" applyFont="1" applyFill="1" applyBorder="1"/>
    <xf numFmtId="1" fontId="10" fillId="5" borderId="14" xfId="0" applyNumberFormat="1" applyFont="1" applyFill="1" applyBorder="1"/>
    <xf numFmtId="0" fontId="3" fillId="6" borderId="13" xfId="0" applyFont="1" applyFill="1" applyBorder="1"/>
    <xf numFmtId="1" fontId="10" fillId="6" borderId="14" xfId="0" applyNumberFormat="1" applyFont="1" applyFill="1" applyBorder="1"/>
    <xf numFmtId="0" fontId="3" fillId="6" borderId="15" xfId="0" applyFont="1" applyFill="1" applyBorder="1"/>
    <xf numFmtId="1" fontId="14" fillId="0" borderId="0" xfId="0" applyNumberFormat="1" applyFont="1" applyBorder="1"/>
    <xf numFmtId="0" fontId="2" fillId="0" borderId="8" xfId="0" applyFont="1" applyFill="1" applyBorder="1"/>
    <xf numFmtId="1" fontId="14" fillId="0" borderId="12" xfId="0" applyNumberFormat="1" applyFont="1" applyFill="1" applyBorder="1"/>
    <xf numFmtId="0" fontId="2" fillId="0" borderId="11" xfId="0" applyFont="1" applyFill="1" applyBorder="1"/>
    <xf numFmtId="0" fontId="2" fillId="0" borderId="0" xfId="0" applyFont="1" applyFill="1"/>
    <xf numFmtId="168" fontId="4" fillId="0" borderId="0" xfId="0" applyNumberFormat="1" applyFont="1" applyFill="1" applyBorder="1"/>
    <xf numFmtId="0" fontId="18" fillId="7" borderId="2" xfId="0" applyFont="1" applyFill="1" applyBorder="1" applyAlignment="1"/>
    <xf numFmtId="0" fontId="9" fillId="7" borderId="3" xfId="0" applyFont="1" applyFill="1" applyBorder="1" applyAlignment="1">
      <alignment horizontal="center"/>
    </xf>
    <xf numFmtId="0" fontId="9" fillId="7" borderId="4" xfId="0" applyFont="1" applyFill="1" applyBorder="1"/>
    <xf numFmtId="0" fontId="9" fillId="7" borderId="5" xfId="0" applyFont="1" applyFill="1" applyBorder="1" applyAlignment="1"/>
    <xf numFmtId="1" fontId="6" fillId="7" borderId="0" xfId="0" applyNumberFormat="1" applyFont="1" applyFill="1" applyBorder="1"/>
    <xf numFmtId="0" fontId="9" fillId="7" borderId="6" xfId="0" applyFont="1" applyFill="1" applyBorder="1"/>
    <xf numFmtId="0" fontId="12" fillId="7" borderId="8" xfId="0" applyFont="1" applyFill="1" applyBorder="1" applyAlignment="1"/>
    <xf numFmtId="2" fontId="10" fillId="7" borderId="12" xfId="0" applyNumberFormat="1" applyFont="1" applyFill="1" applyBorder="1"/>
    <xf numFmtId="2" fontId="12" fillId="7" borderId="11" xfId="0" applyNumberFormat="1" applyFont="1" applyFill="1" applyBorder="1"/>
    <xf numFmtId="0" fontId="0" fillId="0" borderId="5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12" fillId="5" borderId="2" xfId="0" applyFont="1" applyFill="1" applyBorder="1"/>
    <xf numFmtId="0" fontId="12" fillId="5" borderId="3" xfId="0" applyFont="1" applyFill="1" applyBorder="1"/>
    <xf numFmtId="0" fontId="12" fillId="5" borderId="4" xfId="0" applyFont="1" applyFill="1" applyBorder="1"/>
    <xf numFmtId="0" fontId="9" fillId="5" borderId="5" xfId="0" applyFont="1" applyFill="1" applyBorder="1"/>
    <xf numFmtId="2" fontId="6" fillId="5" borderId="0" xfId="0" applyNumberFormat="1" applyFont="1" applyFill="1" applyBorder="1"/>
    <xf numFmtId="0" fontId="9" fillId="5" borderId="6" xfId="0" applyFont="1" applyFill="1" applyBorder="1"/>
    <xf numFmtId="0" fontId="6" fillId="5" borderId="0" xfId="0" applyFont="1" applyFill="1" applyBorder="1"/>
    <xf numFmtId="0" fontId="12" fillId="5" borderId="8" xfId="0" applyFont="1" applyFill="1" applyBorder="1"/>
    <xf numFmtId="0" fontId="10" fillId="5" borderId="12" xfId="0" applyFont="1" applyFill="1" applyBorder="1"/>
    <xf numFmtId="0" fontId="12" fillId="5" borderId="11" xfId="0" applyFont="1" applyFill="1" applyBorder="1"/>
    <xf numFmtId="0" fontId="10" fillId="5" borderId="3" xfId="0" applyFont="1" applyFill="1" applyBorder="1"/>
    <xf numFmtId="0" fontId="9" fillId="5" borderId="8" xfId="0" applyFont="1" applyFill="1" applyBorder="1"/>
    <xf numFmtId="0" fontId="9" fillId="5" borderId="11" xfId="0" applyFont="1" applyFill="1" applyBorder="1"/>
    <xf numFmtId="0" fontId="12" fillId="6" borderId="2" xfId="0" applyFont="1" applyFill="1" applyBorder="1"/>
    <xf numFmtId="0" fontId="12" fillId="6" borderId="4" xfId="0" applyFont="1" applyFill="1" applyBorder="1"/>
    <xf numFmtId="0" fontId="9" fillId="6" borderId="5" xfId="0" applyFont="1" applyFill="1" applyBorder="1"/>
    <xf numFmtId="0" fontId="9" fillId="6" borderId="6" xfId="0" applyFont="1" applyFill="1" applyBorder="1"/>
    <xf numFmtId="0" fontId="9" fillId="6" borderId="8" xfId="0" applyFont="1" applyFill="1" applyBorder="1"/>
    <xf numFmtId="0" fontId="9" fillId="6" borderId="11" xfId="0" applyFont="1" applyFill="1" applyBorder="1"/>
    <xf numFmtId="0" fontId="21" fillId="0" borderId="13" xfId="0" applyFont="1" applyFill="1" applyBorder="1"/>
    <xf numFmtId="0" fontId="21" fillId="0" borderId="15" xfId="0" applyFont="1" applyFill="1" applyBorder="1"/>
    <xf numFmtId="1" fontId="6" fillId="5" borderId="0" xfId="0" applyNumberFormat="1" applyFont="1" applyFill="1" applyBorder="1"/>
    <xf numFmtId="1" fontId="6" fillId="5" borderId="12" xfId="0" applyNumberFormat="1" applyFont="1" applyFill="1" applyBorder="1"/>
    <xf numFmtId="1" fontId="10" fillId="5" borderId="3" xfId="0" applyNumberFormat="1" applyFont="1" applyFill="1" applyBorder="1"/>
    <xf numFmtId="1" fontId="10" fillId="6" borderId="3" xfId="0" applyNumberFormat="1" applyFont="1" applyFill="1" applyBorder="1"/>
    <xf numFmtId="1" fontId="6" fillId="6" borderId="0" xfId="0" applyNumberFormat="1" applyFont="1" applyFill="1" applyBorder="1"/>
    <xf numFmtId="1" fontId="6" fillId="6" borderId="12" xfId="0" applyNumberFormat="1" applyFont="1" applyFill="1" applyBorder="1"/>
    <xf numFmtId="0" fontId="23" fillId="0" borderId="14" xfId="0" applyFont="1" applyFill="1" applyBorder="1"/>
    <xf numFmtId="0" fontId="9" fillId="5" borderId="3" xfId="0" applyFont="1" applyFill="1" applyBorder="1"/>
    <xf numFmtId="0" fontId="9" fillId="5" borderId="4" xfId="0" applyFont="1" applyFill="1" applyBorder="1"/>
    <xf numFmtId="0" fontId="3" fillId="6" borderId="2" xfId="0" applyFont="1" applyFill="1" applyBorder="1"/>
    <xf numFmtId="0" fontId="8" fillId="6" borderId="3" xfId="0" applyFont="1" applyFill="1" applyBorder="1"/>
    <xf numFmtId="0" fontId="7" fillId="6" borderId="4" xfId="0" applyFont="1" applyFill="1" applyBorder="1"/>
    <xf numFmtId="0" fontId="12" fillId="7" borderId="13" xfId="0" applyFont="1" applyFill="1" applyBorder="1" applyAlignment="1"/>
    <xf numFmtId="0" fontId="12" fillId="7" borderId="14" xfId="0" applyFont="1" applyFill="1" applyBorder="1" applyAlignment="1"/>
    <xf numFmtId="0" fontId="12" fillId="7" borderId="15" xfId="0" applyFont="1" applyFill="1" applyBorder="1" applyAlignment="1"/>
    <xf numFmtId="0" fontId="15" fillId="3" borderId="18" xfId="1" applyFont="1" applyBorder="1"/>
    <xf numFmtId="0" fontId="13" fillId="4" borderId="18" xfId="1" applyFont="1" applyFill="1" applyBorder="1"/>
    <xf numFmtId="0" fontId="0" fillId="0" borderId="18" xfId="0" applyBorder="1"/>
    <xf numFmtId="0" fontId="6" fillId="0" borderId="18" xfId="0" applyFont="1" applyBorder="1"/>
    <xf numFmtId="0" fontId="0" fillId="5" borderId="18" xfId="0" applyFill="1" applyBorder="1"/>
    <xf numFmtId="0" fontId="0" fillId="6" borderId="18" xfId="0" applyFill="1" applyBorder="1"/>
    <xf numFmtId="164" fontId="2" fillId="0" borderId="0" xfId="0" applyNumberFormat="1" applyFont="1" applyFill="1" applyBorder="1"/>
    <xf numFmtId="0" fontId="9" fillId="7" borderId="18" xfId="0" applyFont="1" applyFill="1" applyBorder="1" applyAlignment="1"/>
    <xf numFmtId="0" fontId="0" fillId="0" borderId="11" xfId="0" applyFont="1" applyFill="1" applyBorder="1"/>
  </cellXfs>
  <cellStyles count="2">
    <cellStyle name="Normale" xfId="0" builtinId="0"/>
    <cellStyle name="Nota" xfId="1" builtinId="1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131"/>
  <sheetViews>
    <sheetView zoomScale="130" zoomScaleNormal="130" workbookViewId="0">
      <selection activeCell="A9" sqref="A9"/>
    </sheetView>
  </sheetViews>
  <sheetFormatPr defaultRowHeight="15" x14ac:dyDescent="0.25"/>
  <cols>
    <col min="1" max="1" width="9.85546875" style="1" bestFit="1" customWidth="1"/>
    <col min="2" max="2" width="56.140625" style="1" bestFit="1" customWidth="1"/>
  </cols>
  <sheetData>
    <row r="1" spans="1:3" ht="15.75" x14ac:dyDescent="0.25">
      <c r="A1" s="147" t="s">
        <v>239</v>
      </c>
      <c r="B1" s="168"/>
      <c r="C1" s="10"/>
    </row>
    <row r="2" spans="1:3" x14ac:dyDescent="0.25">
      <c r="A2" s="274">
        <v>20</v>
      </c>
      <c r="B2" s="163" t="s">
        <v>240</v>
      </c>
      <c r="C2" s="10"/>
    </row>
    <row r="3" spans="1:3" ht="15.75" x14ac:dyDescent="0.25">
      <c r="A3" s="275">
        <v>1</v>
      </c>
      <c r="B3" s="163" t="s">
        <v>251</v>
      </c>
      <c r="C3" s="10"/>
    </row>
    <row r="4" spans="1:3" x14ac:dyDescent="0.25">
      <c r="A4" s="276">
        <v>3</v>
      </c>
      <c r="B4" s="163" t="s">
        <v>241</v>
      </c>
      <c r="C4" s="10"/>
    </row>
    <row r="5" spans="1:3" x14ac:dyDescent="0.25">
      <c r="A5" s="277">
        <v>30</v>
      </c>
      <c r="B5" s="163" t="s">
        <v>242</v>
      </c>
      <c r="C5" s="10"/>
    </row>
    <row r="6" spans="1:3" x14ac:dyDescent="0.25">
      <c r="A6" s="278">
        <v>515553</v>
      </c>
      <c r="B6" s="163" t="s">
        <v>243</v>
      </c>
      <c r="C6" s="10"/>
    </row>
    <row r="7" spans="1:3" x14ac:dyDescent="0.25">
      <c r="A7" s="279">
        <v>1842</v>
      </c>
      <c r="B7" s="163" t="s">
        <v>244</v>
      </c>
      <c r="C7" s="10"/>
    </row>
    <row r="8" spans="1:3" x14ac:dyDescent="0.25">
      <c r="A8" s="281">
        <v>241290</v>
      </c>
      <c r="B8" s="163" t="s">
        <v>245</v>
      </c>
      <c r="C8" s="10"/>
    </row>
    <row r="9" spans="1:3" x14ac:dyDescent="0.25">
      <c r="A9" s="14"/>
      <c r="B9" s="280" t="s">
        <v>246</v>
      </c>
      <c r="C9" s="10"/>
    </row>
    <row r="10" spans="1:3" x14ac:dyDescent="0.25">
      <c r="A10" s="14"/>
      <c r="B10" s="14"/>
      <c r="C10" s="10"/>
    </row>
    <row r="11" spans="1:3" x14ac:dyDescent="0.25">
      <c r="A11" s="14"/>
      <c r="B11" s="14"/>
      <c r="C11" s="10"/>
    </row>
    <row r="19" spans="1:2" ht="15.75" x14ac:dyDescent="0.25">
      <c r="A19" s="176"/>
      <c r="B19" s="176"/>
    </row>
    <row r="26" spans="1:2" x14ac:dyDescent="0.25">
      <c r="B26" s="177"/>
    </row>
    <row r="27" spans="1:2" x14ac:dyDescent="0.25">
      <c r="B27" s="177"/>
    </row>
    <row r="28" spans="1:2" x14ac:dyDescent="0.25">
      <c r="B28" s="177"/>
    </row>
    <row r="50" spans="1:2" x14ac:dyDescent="0.25">
      <c r="A50" s="140"/>
      <c r="B50" s="140"/>
    </row>
    <row r="68" spans="1:2" x14ac:dyDescent="0.25">
      <c r="A68" s="14"/>
      <c r="B68" s="14"/>
    </row>
    <row r="69" spans="1:2" x14ac:dyDescent="0.25">
      <c r="A69" s="14"/>
      <c r="B69" s="14"/>
    </row>
    <row r="70" spans="1:2" x14ac:dyDescent="0.25">
      <c r="A70" s="14"/>
      <c r="B70" s="14"/>
    </row>
    <row r="71" spans="1:2" x14ac:dyDescent="0.25">
      <c r="A71" s="14"/>
      <c r="B71" s="14"/>
    </row>
    <row r="72" spans="1:2" ht="15.75" x14ac:dyDescent="0.25">
      <c r="A72" s="168"/>
      <c r="B72" s="168"/>
    </row>
    <row r="73" spans="1:2" x14ac:dyDescent="0.25">
      <c r="A73" s="14"/>
      <c r="B73" s="14"/>
    </row>
    <row r="74" spans="1:2" x14ac:dyDescent="0.25">
      <c r="A74" s="14"/>
      <c r="B74" s="14"/>
    </row>
    <row r="75" spans="1:2" x14ac:dyDescent="0.25">
      <c r="A75" s="14"/>
      <c r="B75" s="14"/>
    </row>
    <row r="76" spans="1:2" x14ac:dyDescent="0.25">
      <c r="A76" s="14"/>
      <c r="B76" s="14"/>
    </row>
    <row r="77" spans="1:2" x14ac:dyDescent="0.25">
      <c r="A77" s="14"/>
      <c r="B77" s="14"/>
    </row>
    <row r="78" spans="1:2" x14ac:dyDescent="0.25">
      <c r="A78" s="14"/>
      <c r="B78" s="14"/>
    </row>
    <row r="79" spans="1:2" x14ac:dyDescent="0.25">
      <c r="A79" s="14"/>
      <c r="B79" s="14"/>
    </row>
    <row r="80" spans="1:2" x14ac:dyDescent="0.25">
      <c r="A80" s="14"/>
      <c r="B80" s="14"/>
    </row>
    <row r="81" spans="1:2" x14ac:dyDescent="0.25">
      <c r="A81" s="14"/>
      <c r="B81" s="14"/>
    </row>
    <row r="82" spans="1:2" x14ac:dyDescent="0.25">
      <c r="A82" s="14"/>
      <c r="B82" s="14"/>
    </row>
    <row r="83" spans="1:2" x14ac:dyDescent="0.25">
      <c r="A83" s="14"/>
      <c r="B83" s="14"/>
    </row>
    <row r="84" spans="1:2" x14ac:dyDescent="0.25">
      <c r="A84" s="14"/>
      <c r="B84" s="14"/>
    </row>
    <row r="85" spans="1:2" x14ac:dyDescent="0.25">
      <c r="A85" s="14"/>
      <c r="B85" s="14"/>
    </row>
    <row r="86" spans="1:2" x14ac:dyDescent="0.25">
      <c r="A86" s="14"/>
      <c r="B86" s="14"/>
    </row>
    <row r="87" spans="1:2" x14ac:dyDescent="0.25">
      <c r="A87" s="14"/>
      <c r="B87" s="14"/>
    </row>
    <row r="88" spans="1:2" x14ac:dyDescent="0.25">
      <c r="A88" s="14"/>
      <c r="B88" s="14"/>
    </row>
    <row r="89" spans="1:2" x14ac:dyDescent="0.25">
      <c r="A89" s="14"/>
      <c r="B89" s="14"/>
    </row>
    <row r="90" spans="1:2" x14ac:dyDescent="0.25">
      <c r="A90" s="14"/>
      <c r="B90" s="14"/>
    </row>
    <row r="91" spans="1:2" x14ac:dyDescent="0.25">
      <c r="A91" s="14"/>
      <c r="B91" s="14"/>
    </row>
    <row r="92" spans="1:2" x14ac:dyDescent="0.25">
      <c r="A92" s="14"/>
      <c r="B92" s="14"/>
    </row>
    <row r="93" spans="1:2" x14ac:dyDescent="0.25">
      <c r="A93" s="14"/>
      <c r="B93" s="14"/>
    </row>
    <row r="94" spans="1:2" x14ac:dyDescent="0.25">
      <c r="A94" s="14"/>
      <c r="B94" s="14"/>
    </row>
    <row r="95" spans="1:2" x14ac:dyDescent="0.25">
      <c r="A95" s="14"/>
      <c r="B95" s="14"/>
    </row>
    <row r="96" spans="1:2" x14ac:dyDescent="0.25">
      <c r="A96" s="14"/>
      <c r="B96" s="14"/>
    </row>
    <row r="97" spans="1:2" x14ac:dyDescent="0.25">
      <c r="A97" s="14"/>
      <c r="B97" s="14"/>
    </row>
    <row r="98" spans="1:2" x14ac:dyDescent="0.25">
      <c r="A98" s="14"/>
      <c r="B98" s="14"/>
    </row>
    <row r="99" spans="1:2" x14ac:dyDescent="0.25">
      <c r="A99" s="14"/>
      <c r="B99" s="14"/>
    </row>
    <row r="100" spans="1:2" x14ac:dyDescent="0.25">
      <c r="A100" s="14"/>
      <c r="B100" s="14"/>
    </row>
    <row r="101" spans="1:2" x14ac:dyDescent="0.25">
      <c r="A101" s="14"/>
      <c r="B101" s="14"/>
    </row>
    <row r="102" spans="1:2" x14ac:dyDescent="0.25">
      <c r="A102" s="14"/>
      <c r="B102" s="14"/>
    </row>
    <row r="103" spans="1:2" x14ac:dyDescent="0.25">
      <c r="A103" s="14"/>
      <c r="B103" s="14"/>
    </row>
    <row r="104" spans="1:2" x14ac:dyDescent="0.25">
      <c r="A104" s="14"/>
      <c r="B104" s="14"/>
    </row>
    <row r="105" spans="1:2" x14ac:dyDescent="0.25">
      <c r="A105" s="14"/>
      <c r="B105" s="14"/>
    </row>
    <row r="106" spans="1:2" x14ac:dyDescent="0.25">
      <c r="A106" s="14"/>
      <c r="B106" s="14"/>
    </row>
    <row r="107" spans="1:2" x14ac:dyDescent="0.25">
      <c r="A107" s="14"/>
      <c r="B107" s="14"/>
    </row>
    <row r="108" spans="1:2" x14ac:dyDescent="0.25">
      <c r="A108" s="14"/>
      <c r="B108" s="14"/>
    </row>
    <row r="109" spans="1:2" x14ac:dyDescent="0.25">
      <c r="A109" s="14"/>
      <c r="B109" s="14"/>
    </row>
    <row r="110" spans="1:2" x14ac:dyDescent="0.25">
      <c r="A110" s="14"/>
      <c r="B110" s="14"/>
    </row>
    <row r="111" spans="1:2" x14ac:dyDescent="0.25">
      <c r="A111" s="14"/>
      <c r="B111" s="14"/>
    </row>
    <row r="112" spans="1:2" x14ac:dyDescent="0.25">
      <c r="A112" s="14"/>
      <c r="B112" s="14"/>
    </row>
    <row r="113" spans="1:2" x14ac:dyDescent="0.25">
      <c r="A113" s="14"/>
      <c r="B113" s="14"/>
    </row>
    <row r="114" spans="1:2" x14ac:dyDescent="0.25">
      <c r="A114" s="14"/>
      <c r="B114" s="14"/>
    </row>
    <row r="115" spans="1:2" x14ac:dyDescent="0.25">
      <c r="A115" s="14"/>
      <c r="B115" s="14"/>
    </row>
    <row r="116" spans="1:2" x14ac:dyDescent="0.25">
      <c r="A116" s="14"/>
      <c r="B116" s="14"/>
    </row>
    <row r="117" spans="1:2" x14ac:dyDescent="0.25">
      <c r="A117" s="14"/>
      <c r="B117" s="14"/>
    </row>
    <row r="118" spans="1:2" x14ac:dyDescent="0.25">
      <c r="A118" s="14"/>
      <c r="B118" s="14"/>
    </row>
    <row r="119" spans="1:2" x14ac:dyDescent="0.25">
      <c r="A119" s="14"/>
      <c r="B119" s="14"/>
    </row>
    <row r="120" spans="1:2" x14ac:dyDescent="0.25">
      <c r="A120" s="14"/>
      <c r="B120" s="14"/>
    </row>
    <row r="121" spans="1:2" x14ac:dyDescent="0.25">
      <c r="A121" s="14"/>
      <c r="B121" s="14"/>
    </row>
    <row r="122" spans="1:2" x14ac:dyDescent="0.25">
      <c r="A122" s="14"/>
      <c r="B122" s="14"/>
    </row>
    <row r="123" spans="1:2" x14ac:dyDescent="0.25">
      <c r="A123" s="14"/>
      <c r="B123" s="14"/>
    </row>
    <row r="124" spans="1:2" x14ac:dyDescent="0.25">
      <c r="A124" s="14"/>
      <c r="B124" s="14"/>
    </row>
    <row r="125" spans="1:2" x14ac:dyDescent="0.25">
      <c r="A125" s="14"/>
      <c r="B125" s="14"/>
    </row>
    <row r="126" spans="1:2" x14ac:dyDescent="0.25">
      <c r="A126" s="14"/>
      <c r="B126" s="14"/>
    </row>
    <row r="127" spans="1:2" x14ac:dyDescent="0.25">
      <c r="A127" s="14"/>
      <c r="B127" s="14"/>
    </row>
    <row r="128" spans="1:2" x14ac:dyDescent="0.25">
      <c r="A128" s="14"/>
      <c r="B128" s="14"/>
    </row>
    <row r="129" spans="1:2" x14ac:dyDescent="0.25">
      <c r="A129" s="14"/>
      <c r="B129" s="14"/>
    </row>
    <row r="130" spans="1:2" x14ac:dyDescent="0.25">
      <c r="A130" s="14"/>
      <c r="B130" s="14"/>
    </row>
    <row r="131" spans="1:2" x14ac:dyDescent="0.25">
      <c r="A131" s="14"/>
      <c r="B131" s="14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Z133"/>
  <sheetViews>
    <sheetView tabSelected="1" zoomScale="130" zoomScaleNormal="130" zoomScaleSheetLayoutView="80" workbookViewId="0">
      <selection activeCell="E77" sqref="E77"/>
    </sheetView>
  </sheetViews>
  <sheetFormatPr defaultRowHeight="15" x14ac:dyDescent="0.25"/>
  <cols>
    <col min="1" max="1" width="44.7109375" bestFit="1" customWidth="1"/>
    <col min="2" max="2" width="23.28515625" style="16" bestFit="1" customWidth="1"/>
    <col min="3" max="3" width="18.7109375" bestFit="1" customWidth="1"/>
    <col min="4" max="4" width="17.5703125" bestFit="1" customWidth="1"/>
    <col min="6" max="208" width="9.140625" style="1"/>
  </cols>
  <sheetData>
    <row r="1" spans="1:208" s="5" customFormat="1" ht="19.5" customHeight="1" x14ac:dyDescent="0.3">
      <c r="A1" s="5" t="s">
        <v>23</v>
      </c>
      <c r="B1" s="21" t="s">
        <v>34</v>
      </c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5"/>
      <c r="BZ1" s="175"/>
      <c r="CA1" s="175"/>
      <c r="CB1" s="175"/>
      <c r="CC1" s="175"/>
      <c r="CD1" s="175"/>
      <c r="CE1" s="175"/>
      <c r="CF1" s="175"/>
      <c r="CG1" s="175"/>
      <c r="CH1" s="175"/>
      <c r="CI1" s="175"/>
      <c r="CJ1" s="175"/>
      <c r="CK1" s="175"/>
      <c r="CL1" s="175"/>
      <c r="CM1" s="175"/>
      <c r="CN1" s="175"/>
      <c r="CO1" s="175"/>
      <c r="CP1" s="175"/>
      <c r="CQ1" s="175"/>
      <c r="CR1" s="175"/>
      <c r="CS1" s="175"/>
      <c r="CT1" s="175"/>
      <c r="CU1" s="175"/>
      <c r="CV1" s="175"/>
      <c r="CW1" s="175"/>
      <c r="CX1" s="175"/>
      <c r="CY1" s="17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  <c r="FF1" s="175"/>
      <c r="FG1" s="175"/>
      <c r="FH1" s="175"/>
      <c r="FI1" s="175"/>
      <c r="FJ1" s="175"/>
      <c r="FK1" s="175"/>
      <c r="FL1" s="175"/>
      <c r="FM1" s="175"/>
      <c r="FN1" s="175"/>
      <c r="FO1" s="175"/>
      <c r="FP1" s="175"/>
      <c r="FQ1" s="175"/>
      <c r="FR1" s="175"/>
      <c r="FS1" s="175"/>
      <c r="FT1" s="175"/>
      <c r="FU1" s="175"/>
      <c r="FV1" s="175"/>
      <c r="FW1" s="175"/>
      <c r="FX1" s="175"/>
      <c r="FY1" s="175"/>
      <c r="FZ1" s="175"/>
      <c r="GA1" s="175"/>
      <c r="GB1" s="175"/>
      <c r="GC1" s="175"/>
      <c r="GD1" s="175"/>
      <c r="GE1" s="175"/>
      <c r="GF1" s="175"/>
      <c r="GG1" s="175"/>
      <c r="GH1" s="175"/>
      <c r="GI1" s="175"/>
      <c r="GJ1" s="175"/>
      <c r="GK1" s="175"/>
      <c r="GL1" s="175"/>
      <c r="GM1" s="175"/>
      <c r="GN1" s="175"/>
      <c r="GO1" s="175"/>
      <c r="GP1" s="175"/>
      <c r="GQ1" s="175"/>
      <c r="GR1" s="175"/>
      <c r="GS1" s="175"/>
      <c r="GT1" s="175"/>
      <c r="GU1" s="175"/>
      <c r="GV1" s="175"/>
      <c r="GW1" s="175"/>
      <c r="GX1" s="175"/>
      <c r="GY1" s="175"/>
      <c r="GZ1" s="175"/>
    </row>
    <row r="2" spans="1:208" s="7" customFormat="1" ht="15.75" thickBot="1" x14ac:dyDescent="0.3"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  <c r="BP2" s="166"/>
      <c r="BQ2" s="166"/>
      <c r="BR2" s="166"/>
      <c r="BS2" s="166"/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6"/>
      <c r="CQ2" s="166"/>
      <c r="CR2" s="166"/>
      <c r="CS2" s="166"/>
      <c r="CT2" s="166"/>
      <c r="CU2" s="166"/>
      <c r="CV2" s="166"/>
      <c r="CW2" s="166"/>
      <c r="CX2" s="166"/>
      <c r="CY2" s="166"/>
      <c r="CZ2" s="166"/>
      <c r="DA2" s="166"/>
      <c r="DB2" s="166"/>
      <c r="DC2" s="166"/>
      <c r="DD2" s="166"/>
      <c r="DE2" s="166"/>
      <c r="DF2" s="166"/>
      <c r="DG2" s="166"/>
      <c r="DH2" s="166"/>
      <c r="DI2" s="166"/>
      <c r="DJ2" s="166"/>
      <c r="DK2" s="166"/>
      <c r="DL2" s="166"/>
      <c r="DM2" s="166"/>
      <c r="DN2" s="166"/>
      <c r="DO2" s="166"/>
      <c r="DP2" s="166"/>
      <c r="DQ2" s="166"/>
      <c r="DR2" s="166"/>
      <c r="DS2" s="166"/>
      <c r="DT2" s="166"/>
      <c r="DU2" s="166"/>
      <c r="DV2" s="166"/>
      <c r="DW2" s="166"/>
      <c r="DX2" s="166"/>
      <c r="DY2" s="166"/>
      <c r="DZ2" s="166"/>
      <c r="EA2" s="166"/>
      <c r="EB2" s="166"/>
      <c r="EC2" s="166"/>
      <c r="ED2" s="166"/>
      <c r="EE2" s="166"/>
      <c r="EF2" s="166"/>
      <c r="EG2" s="166"/>
      <c r="EH2" s="166"/>
      <c r="EI2" s="166"/>
      <c r="EJ2" s="166"/>
      <c r="EK2" s="166"/>
      <c r="EL2" s="166"/>
      <c r="EM2" s="166"/>
      <c r="EN2" s="166"/>
      <c r="EO2" s="166"/>
      <c r="EP2" s="166"/>
      <c r="EQ2" s="166"/>
      <c r="ER2" s="166"/>
      <c r="ES2" s="166"/>
      <c r="ET2" s="166"/>
      <c r="EU2" s="166"/>
      <c r="EV2" s="166"/>
      <c r="EW2" s="166"/>
      <c r="EX2" s="166"/>
      <c r="EY2" s="166"/>
      <c r="EZ2" s="166"/>
      <c r="FA2" s="166"/>
      <c r="FB2" s="166"/>
      <c r="FC2" s="166"/>
      <c r="FD2" s="166"/>
      <c r="FE2" s="166"/>
      <c r="FF2" s="166"/>
      <c r="FG2" s="166"/>
      <c r="FH2" s="166"/>
      <c r="FI2" s="166"/>
      <c r="FJ2" s="166"/>
      <c r="FK2" s="166"/>
      <c r="FL2" s="166"/>
      <c r="FM2" s="166"/>
      <c r="FN2" s="166"/>
      <c r="FO2" s="166"/>
      <c r="FP2" s="166"/>
      <c r="FQ2" s="166"/>
      <c r="FR2" s="166"/>
      <c r="FS2" s="166"/>
      <c r="FT2" s="166"/>
      <c r="FU2" s="166"/>
      <c r="FV2" s="166"/>
      <c r="FW2" s="166"/>
      <c r="FX2" s="166"/>
      <c r="FY2" s="166"/>
      <c r="FZ2" s="166"/>
      <c r="GA2" s="166"/>
      <c r="GB2" s="166"/>
      <c r="GC2" s="166"/>
      <c r="GD2" s="166"/>
      <c r="GE2" s="166"/>
      <c r="GF2" s="166"/>
      <c r="GG2" s="166"/>
      <c r="GH2" s="166"/>
      <c r="GI2" s="166"/>
      <c r="GJ2" s="166"/>
      <c r="GK2" s="166"/>
      <c r="GL2" s="166"/>
      <c r="GM2" s="166"/>
      <c r="GN2" s="166"/>
      <c r="GO2" s="166"/>
      <c r="GP2" s="166"/>
      <c r="GQ2" s="166"/>
      <c r="GR2" s="166"/>
      <c r="GS2" s="166"/>
      <c r="GT2" s="166"/>
      <c r="GU2" s="166"/>
      <c r="GV2" s="166"/>
      <c r="GW2" s="166"/>
      <c r="GX2" s="166"/>
      <c r="GY2" s="166"/>
      <c r="GZ2" s="166"/>
    </row>
    <row r="3" spans="1:208" s="2" customFormat="1" ht="15.75" x14ac:dyDescent="0.25">
      <c r="A3" s="45" t="s">
        <v>75</v>
      </c>
      <c r="B3" s="164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  <c r="BP3" s="176"/>
      <c r="BQ3" s="176"/>
      <c r="BR3" s="176"/>
      <c r="BS3" s="176"/>
      <c r="BT3" s="176"/>
      <c r="BU3" s="176"/>
      <c r="BV3" s="176"/>
      <c r="BW3" s="176"/>
      <c r="BX3" s="176"/>
      <c r="BY3" s="176"/>
      <c r="BZ3" s="176"/>
      <c r="CA3" s="176"/>
      <c r="CB3" s="176"/>
      <c r="CC3" s="176"/>
      <c r="CD3" s="176"/>
      <c r="CE3" s="176"/>
      <c r="CF3" s="176"/>
      <c r="CG3" s="176"/>
      <c r="CH3" s="176"/>
      <c r="CI3" s="176"/>
      <c r="CJ3" s="176"/>
      <c r="CK3" s="176"/>
      <c r="CL3" s="176"/>
      <c r="CM3" s="176"/>
      <c r="CN3" s="176"/>
      <c r="CO3" s="176"/>
      <c r="CP3" s="176"/>
      <c r="CQ3" s="176"/>
      <c r="CR3" s="176"/>
      <c r="CS3" s="176"/>
      <c r="CT3" s="176"/>
      <c r="CU3" s="176"/>
      <c r="CV3" s="176"/>
      <c r="CW3" s="176"/>
      <c r="CX3" s="176"/>
      <c r="CY3" s="176"/>
      <c r="CZ3" s="176"/>
      <c r="DA3" s="176"/>
      <c r="DB3" s="176"/>
      <c r="DC3" s="176"/>
      <c r="DD3" s="176"/>
      <c r="DE3" s="176"/>
      <c r="DF3" s="176"/>
      <c r="DG3" s="176"/>
      <c r="DH3" s="176"/>
      <c r="DI3" s="176"/>
      <c r="DJ3" s="176"/>
      <c r="DK3" s="176"/>
      <c r="DL3" s="176"/>
      <c r="DM3" s="176"/>
      <c r="DN3" s="176"/>
      <c r="DO3" s="176"/>
      <c r="DP3" s="176"/>
      <c r="DQ3" s="176"/>
      <c r="DR3" s="176"/>
      <c r="DS3" s="176"/>
      <c r="DT3" s="176"/>
      <c r="DU3" s="176"/>
      <c r="DV3" s="176"/>
      <c r="DW3" s="176"/>
      <c r="DX3" s="176"/>
      <c r="DY3" s="176"/>
      <c r="DZ3" s="176"/>
      <c r="EA3" s="176"/>
      <c r="EB3" s="176"/>
      <c r="EC3" s="176"/>
      <c r="ED3" s="176"/>
      <c r="EE3" s="176"/>
      <c r="EF3" s="176"/>
      <c r="EG3" s="176"/>
      <c r="EH3" s="176"/>
      <c r="EI3" s="176"/>
      <c r="EJ3" s="176"/>
      <c r="EK3" s="176"/>
      <c r="EL3" s="176"/>
      <c r="EM3" s="176"/>
      <c r="EN3" s="176"/>
      <c r="EO3" s="176"/>
      <c r="EP3" s="176"/>
      <c r="EQ3" s="176"/>
      <c r="ER3" s="176"/>
      <c r="ES3" s="176"/>
      <c r="ET3" s="176"/>
      <c r="EU3" s="176"/>
      <c r="EV3" s="176"/>
      <c r="EW3" s="176"/>
      <c r="EX3" s="176"/>
      <c r="EY3" s="176"/>
      <c r="EZ3" s="176"/>
      <c r="FA3" s="176"/>
      <c r="FB3" s="176"/>
      <c r="FC3" s="176"/>
      <c r="FD3" s="176"/>
      <c r="FE3" s="176"/>
      <c r="FF3" s="176"/>
      <c r="FG3" s="176"/>
      <c r="FH3" s="176"/>
      <c r="FI3" s="176"/>
      <c r="FJ3" s="176"/>
      <c r="FK3" s="176"/>
      <c r="FL3" s="176"/>
      <c r="FM3" s="176"/>
      <c r="FN3" s="176"/>
      <c r="FO3" s="176"/>
      <c r="FP3" s="176"/>
      <c r="FQ3" s="176"/>
      <c r="FR3" s="176"/>
      <c r="FS3" s="176"/>
      <c r="FT3" s="176"/>
      <c r="FU3" s="176"/>
      <c r="FV3" s="176"/>
      <c r="FW3" s="176"/>
      <c r="FX3" s="176"/>
      <c r="FY3" s="176"/>
      <c r="FZ3" s="176"/>
      <c r="GA3" s="176"/>
      <c r="GB3" s="176"/>
      <c r="GC3" s="176"/>
      <c r="GD3" s="176"/>
      <c r="GE3" s="176"/>
      <c r="GF3" s="176"/>
      <c r="GG3" s="176"/>
      <c r="GH3" s="176"/>
      <c r="GI3" s="176"/>
      <c r="GJ3" s="176"/>
      <c r="GK3" s="176"/>
      <c r="GL3" s="176"/>
      <c r="GM3" s="176"/>
      <c r="GN3" s="176"/>
      <c r="GO3" s="176"/>
      <c r="GP3" s="176"/>
      <c r="GQ3" s="176"/>
      <c r="GR3" s="176"/>
      <c r="GS3" s="176"/>
      <c r="GT3" s="176"/>
      <c r="GU3" s="176"/>
      <c r="GV3" s="176"/>
      <c r="GW3" s="176"/>
      <c r="GX3" s="176"/>
      <c r="GY3" s="176"/>
      <c r="GZ3" s="176"/>
    </row>
    <row r="4" spans="1:208" s="2" customFormat="1" ht="15.75" x14ac:dyDescent="0.25">
      <c r="A4" s="37" t="s">
        <v>189</v>
      </c>
      <c r="B4" s="170">
        <v>1</v>
      </c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6"/>
      <c r="BP4" s="176"/>
      <c r="BQ4" s="176"/>
      <c r="BR4" s="176"/>
      <c r="BS4" s="176"/>
      <c r="BT4" s="176"/>
      <c r="BU4" s="176"/>
      <c r="BV4" s="176"/>
      <c r="BW4" s="176"/>
      <c r="BX4" s="176"/>
      <c r="BY4" s="176"/>
      <c r="BZ4" s="176"/>
      <c r="CA4" s="176"/>
      <c r="CB4" s="176"/>
      <c r="CC4" s="176"/>
      <c r="CD4" s="176"/>
      <c r="CE4" s="176"/>
      <c r="CF4" s="176"/>
      <c r="CG4" s="176"/>
      <c r="CH4" s="176"/>
      <c r="CI4" s="176"/>
      <c r="CJ4" s="176"/>
      <c r="CK4" s="176"/>
      <c r="CL4" s="176"/>
      <c r="CM4" s="176"/>
      <c r="CN4" s="176"/>
      <c r="CO4" s="176"/>
      <c r="CP4" s="176"/>
      <c r="CQ4" s="176"/>
      <c r="CR4" s="176"/>
      <c r="CS4" s="176"/>
      <c r="CT4" s="176"/>
      <c r="CU4" s="176"/>
      <c r="CV4" s="176"/>
      <c r="CW4" s="176"/>
      <c r="CX4" s="176"/>
      <c r="CY4" s="176"/>
      <c r="CZ4" s="176"/>
      <c r="DA4" s="176"/>
      <c r="DB4" s="176"/>
      <c r="DC4" s="176"/>
      <c r="DD4" s="176"/>
      <c r="DE4" s="176"/>
      <c r="DF4" s="176"/>
      <c r="DG4" s="176"/>
      <c r="DH4" s="176"/>
      <c r="DI4" s="176"/>
      <c r="DJ4" s="176"/>
      <c r="DK4" s="176"/>
      <c r="DL4" s="176"/>
      <c r="DM4" s="176"/>
      <c r="DN4" s="176"/>
      <c r="DO4" s="176"/>
      <c r="DP4" s="176"/>
      <c r="DQ4" s="176"/>
      <c r="DR4" s="176"/>
      <c r="DS4" s="176"/>
      <c r="DT4" s="176"/>
      <c r="DU4" s="176"/>
      <c r="DV4" s="176"/>
      <c r="DW4" s="176"/>
      <c r="DX4" s="176"/>
      <c r="DY4" s="176"/>
      <c r="DZ4" s="176"/>
      <c r="EA4" s="176"/>
      <c r="EB4" s="176"/>
      <c r="EC4" s="176"/>
      <c r="ED4" s="176"/>
      <c r="EE4" s="176"/>
      <c r="EF4" s="176"/>
      <c r="EG4" s="176"/>
      <c r="EH4" s="176"/>
      <c r="EI4" s="176"/>
      <c r="EJ4" s="176"/>
      <c r="EK4" s="176"/>
      <c r="EL4" s="176"/>
      <c r="EM4" s="176"/>
      <c r="EN4" s="176"/>
      <c r="EO4" s="176"/>
      <c r="EP4" s="176"/>
      <c r="EQ4" s="176"/>
      <c r="ER4" s="176"/>
      <c r="ES4" s="176"/>
      <c r="ET4" s="176"/>
      <c r="EU4" s="176"/>
      <c r="EV4" s="176"/>
      <c r="EW4" s="176"/>
      <c r="EX4" s="176"/>
      <c r="EY4" s="176"/>
      <c r="EZ4" s="176"/>
      <c r="FA4" s="176"/>
      <c r="FB4" s="176"/>
      <c r="FC4" s="176"/>
      <c r="FD4" s="176"/>
      <c r="FE4" s="176"/>
      <c r="FF4" s="176"/>
      <c r="FG4" s="176"/>
      <c r="FH4" s="176"/>
      <c r="FI4" s="176"/>
      <c r="FJ4" s="176"/>
      <c r="FK4" s="176"/>
      <c r="FL4" s="176"/>
      <c r="FM4" s="176"/>
      <c r="FN4" s="176"/>
      <c r="FO4" s="176"/>
      <c r="FP4" s="176"/>
      <c r="FQ4" s="176"/>
      <c r="FR4" s="176"/>
      <c r="FS4" s="176"/>
      <c r="FT4" s="176"/>
      <c r="FU4" s="176"/>
      <c r="FV4" s="176"/>
      <c r="FW4" s="176"/>
      <c r="FX4" s="176"/>
      <c r="FY4" s="176"/>
      <c r="FZ4" s="176"/>
      <c r="GA4" s="176"/>
      <c r="GB4" s="176"/>
      <c r="GC4" s="176"/>
      <c r="GD4" s="176"/>
      <c r="GE4" s="176"/>
      <c r="GF4" s="176"/>
      <c r="GG4" s="176"/>
      <c r="GH4" s="176"/>
      <c r="GI4" s="176"/>
      <c r="GJ4" s="176"/>
      <c r="GK4" s="176"/>
      <c r="GL4" s="176"/>
      <c r="GM4" s="176"/>
      <c r="GN4" s="176"/>
      <c r="GO4" s="176"/>
      <c r="GP4" s="176"/>
      <c r="GQ4" s="176"/>
      <c r="GR4" s="176"/>
      <c r="GS4" s="176"/>
      <c r="GT4" s="176"/>
      <c r="GU4" s="176"/>
      <c r="GV4" s="176"/>
      <c r="GW4" s="176"/>
      <c r="GX4" s="176"/>
      <c r="GY4" s="176"/>
      <c r="GZ4" s="176"/>
    </row>
    <row r="5" spans="1:208" s="2" customFormat="1" ht="16.5" thickBot="1" x14ac:dyDescent="0.3">
      <c r="A5" s="165" t="s">
        <v>190</v>
      </c>
      <c r="B5" s="171">
        <v>0</v>
      </c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/>
      <c r="BX5" s="176"/>
      <c r="BY5" s="176"/>
      <c r="BZ5" s="176"/>
      <c r="CA5" s="176"/>
      <c r="CB5" s="176"/>
      <c r="CC5" s="176"/>
      <c r="CD5" s="176"/>
      <c r="CE5" s="176"/>
      <c r="CF5" s="176"/>
      <c r="CG5" s="176"/>
      <c r="CH5" s="176"/>
      <c r="CI5" s="176"/>
      <c r="CJ5" s="176"/>
      <c r="CK5" s="176"/>
      <c r="CL5" s="176"/>
      <c r="CM5" s="176"/>
      <c r="CN5" s="176"/>
      <c r="CO5" s="176"/>
      <c r="CP5" s="176"/>
      <c r="CQ5" s="176"/>
      <c r="CR5" s="176"/>
      <c r="CS5" s="176"/>
      <c r="CT5" s="176"/>
      <c r="CU5" s="176"/>
      <c r="CV5" s="176"/>
      <c r="CW5" s="176"/>
      <c r="CX5" s="176"/>
      <c r="CY5" s="176"/>
      <c r="CZ5" s="176"/>
      <c r="DA5" s="176"/>
      <c r="DB5" s="176"/>
      <c r="DC5" s="176"/>
      <c r="DD5" s="176"/>
      <c r="DE5" s="176"/>
      <c r="DF5" s="176"/>
      <c r="DG5" s="176"/>
      <c r="DH5" s="176"/>
      <c r="DI5" s="176"/>
      <c r="DJ5" s="176"/>
      <c r="DK5" s="176"/>
      <c r="DL5" s="176"/>
      <c r="DM5" s="176"/>
      <c r="DN5" s="176"/>
      <c r="DO5" s="176"/>
      <c r="DP5" s="176"/>
      <c r="DQ5" s="176"/>
      <c r="DR5" s="176"/>
      <c r="DS5" s="176"/>
      <c r="DT5" s="176"/>
      <c r="DU5" s="176"/>
      <c r="DV5" s="176"/>
      <c r="DW5" s="176"/>
      <c r="DX5" s="176"/>
      <c r="DY5" s="176"/>
      <c r="DZ5" s="176"/>
      <c r="EA5" s="176"/>
      <c r="EB5" s="176"/>
      <c r="EC5" s="176"/>
      <c r="ED5" s="176"/>
      <c r="EE5" s="176"/>
      <c r="EF5" s="176"/>
      <c r="EG5" s="176"/>
      <c r="EH5" s="176"/>
      <c r="EI5" s="176"/>
      <c r="EJ5" s="176"/>
      <c r="EK5" s="176"/>
      <c r="EL5" s="176"/>
      <c r="EM5" s="176"/>
      <c r="EN5" s="176"/>
      <c r="EO5" s="176"/>
      <c r="EP5" s="176"/>
      <c r="EQ5" s="176"/>
      <c r="ER5" s="176"/>
      <c r="ES5" s="176"/>
      <c r="ET5" s="176"/>
      <c r="EU5" s="176"/>
      <c r="EV5" s="176"/>
      <c r="EW5" s="176"/>
      <c r="EX5" s="176"/>
      <c r="EY5" s="176"/>
      <c r="EZ5" s="176"/>
      <c r="FA5" s="176"/>
      <c r="FB5" s="176"/>
      <c r="FC5" s="176"/>
      <c r="FD5" s="176"/>
      <c r="FE5" s="176"/>
      <c r="FF5" s="176"/>
      <c r="FG5" s="176"/>
      <c r="FH5" s="176"/>
      <c r="FI5" s="176"/>
      <c r="FJ5" s="176"/>
      <c r="FK5" s="176"/>
      <c r="FL5" s="176"/>
      <c r="FM5" s="176"/>
      <c r="FN5" s="176"/>
      <c r="FO5" s="176"/>
      <c r="FP5" s="176"/>
      <c r="FQ5" s="176"/>
      <c r="FR5" s="176"/>
      <c r="FS5" s="176"/>
      <c r="FT5" s="176"/>
      <c r="FU5" s="176"/>
      <c r="FV5" s="176"/>
      <c r="FW5" s="176"/>
      <c r="FX5" s="176"/>
      <c r="FY5" s="176"/>
      <c r="FZ5" s="176"/>
      <c r="GA5" s="176"/>
      <c r="GB5" s="176"/>
      <c r="GC5" s="176"/>
      <c r="GD5" s="176"/>
      <c r="GE5" s="176"/>
      <c r="GF5" s="176"/>
      <c r="GG5" s="176"/>
      <c r="GH5" s="176"/>
      <c r="GI5" s="176"/>
      <c r="GJ5" s="176"/>
      <c r="GK5" s="176"/>
      <c r="GL5" s="176"/>
      <c r="GM5" s="176"/>
      <c r="GN5" s="176"/>
      <c r="GO5" s="176"/>
      <c r="GP5" s="176"/>
      <c r="GQ5" s="176"/>
      <c r="GR5" s="176"/>
      <c r="GS5" s="176"/>
      <c r="GT5" s="176"/>
      <c r="GU5" s="176"/>
      <c r="GV5" s="176"/>
      <c r="GW5" s="176"/>
      <c r="GX5" s="176"/>
      <c r="GY5" s="176"/>
      <c r="GZ5" s="176"/>
    </row>
    <row r="6" spans="1:208" s="7" customFormat="1" ht="15.75" thickBot="1" x14ac:dyDescent="0.3"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  <c r="CJ6" s="166"/>
      <c r="CK6" s="166"/>
      <c r="CL6" s="166"/>
      <c r="CM6" s="166"/>
      <c r="CN6" s="166"/>
      <c r="CO6" s="166"/>
      <c r="CP6" s="166"/>
      <c r="CQ6" s="166"/>
      <c r="CR6" s="166"/>
      <c r="CS6" s="166"/>
      <c r="CT6" s="166"/>
      <c r="CU6" s="166"/>
      <c r="CV6" s="166"/>
      <c r="CW6" s="166"/>
      <c r="CX6" s="166"/>
      <c r="CY6" s="166"/>
      <c r="CZ6" s="166"/>
      <c r="DA6" s="166"/>
      <c r="DB6" s="166"/>
      <c r="DC6" s="166"/>
      <c r="DD6" s="166"/>
      <c r="DE6" s="166"/>
      <c r="DF6" s="166"/>
      <c r="DG6" s="166"/>
      <c r="DH6" s="166"/>
      <c r="DI6" s="166"/>
      <c r="DJ6" s="166"/>
      <c r="DK6" s="166"/>
      <c r="DL6" s="166"/>
      <c r="DM6" s="166"/>
      <c r="DN6" s="166"/>
      <c r="DO6" s="166"/>
      <c r="DP6" s="166"/>
      <c r="DQ6" s="166"/>
      <c r="DR6" s="166"/>
      <c r="DS6" s="166"/>
      <c r="DT6" s="166"/>
      <c r="DU6" s="166"/>
      <c r="DV6" s="166"/>
      <c r="DW6" s="166"/>
      <c r="DX6" s="166"/>
      <c r="DY6" s="166"/>
      <c r="DZ6" s="166"/>
      <c r="EA6" s="166"/>
      <c r="EB6" s="166"/>
      <c r="EC6" s="166"/>
      <c r="ED6" s="166"/>
      <c r="EE6" s="166"/>
      <c r="EF6" s="166"/>
      <c r="EG6" s="166"/>
      <c r="EH6" s="166"/>
      <c r="EI6" s="166"/>
      <c r="EJ6" s="166"/>
      <c r="EK6" s="166"/>
      <c r="EL6" s="166"/>
      <c r="EM6" s="166"/>
      <c r="EN6" s="166"/>
      <c r="EO6" s="166"/>
      <c r="EP6" s="166"/>
      <c r="EQ6" s="166"/>
      <c r="ER6" s="166"/>
      <c r="ES6" s="166"/>
      <c r="ET6" s="166"/>
      <c r="EU6" s="166"/>
      <c r="EV6" s="166"/>
      <c r="EW6" s="166"/>
      <c r="EX6" s="166"/>
      <c r="EY6" s="166"/>
      <c r="EZ6" s="166"/>
      <c r="FA6" s="166"/>
      <c r="FB6" s="166"/>
      <c r="FC6" s="166"/>
      <c r="FD6" s="166"/>
      <c r="FE6" s="166"/>
      <c r="FF6" s="166"/>
      <c r="FG6" s="166"/>
      <c r="FH6" s="166"/>
      <c r="FI6" s="166"/>
      <c r="FJ6" s="166"/>
      <c r="FK6" s="166"/>
      <c r="FL6" s="166"/>
      <c r="FM6" s="166"/>
      <c r="FN6" s="166"/>
      <c r="FO6" s="166"/>
      <c r="FP6" s="166"/>
      <c r="FQ6" s="166"/>
      <c r="FR6" s="166"/>
      <c r="FS6" s="166"/>
      <c r="FT6" s="166"/>
      <c r="FU6" s="166"/>
      <c r="FV6" s="166"/>
      <c r="FW6" s="166"/>
      <c r="FX6" s="166"/>
      <c r="FY6" s="166"/>
      <c r="FZ6" s="166"/>
      <c r="GA6" s="166"/>
      <c r="GB6" s="166"/>
      <c r="GC6" s="166"/>
      <c r="GD6" s="166"/>
      <c r="GE6" s="166"/>
      <c r="GF6" s="166"/>
      <c r="GG6" s="166"/>
      <c r="GH6" s="166"/>
      <c r="GI6" s="166"/>
      <c r="GJ6" s="166"/>
      <c r="GK6" s="166"/>
      <c r="GL6" s="166"/>
      <c r="GM6" s="166"/>
      <c r="GN6" s="166"/>
      <c r="GO6" s="166"/>
      <c r="GP6" s="166"/>
      <c r="GQ6" s="166"/>
      <c r="GR6" s="166"/>
      <c r="GS6" s="166"/>
      <c r="GT6" s="166"/>
      <c r="GU6" s="166"/>
      <c r="GV6" s="166"/>
      <c r="GW6" s="166"/>
      <c r="GX6" s="166"/>
      <c r="GY6" s="166"/>
      <c r="GZ6" s="166"/>
    </row>
    <row r="7" spans="1:208" s="5" customFormat="1" ht="19.5" thickBot="1" x14ac:dyDescent="0.35">
      <c r="A7" s="271" t="s">
        <v>191</v>
      </c>
      <c r="B7" s="272" t="s">
        <v>24</v>
      </c>
      <c r="C7" s="273" t="s">
        <v>25</v>
      </c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5"/>
      <c r="BP7" s="175"/>
      <c r="BQ7" s="175"/>
      <c r="BR7" s="175"/>
      <c r="BS7" s="175"/>
      <c r="BT7" s="175"/>
      <c r="BU7" s="175"/>
      <c r="BV7" s="175"/>
      <c r="BW7" s="175"/>
      <c r="BX7" s="175"/>
      <c r="BY7" s="175"/>
      <c r="BZ7" s="175"/>
      <c r="CA7" s="175"/>
      <c r="CB7" s="175"/>
      <c r="CC7" s="175"/>
      <c r="CD7" s="175"/>
      <c r="CE7" s="175"/>
      <c r="CF7" s="175"/>
      <c r="CG7" s="175"/>
      <c r="CH7" s="175"/>
      <c r="CI7" s="175"/>
      <c r="CJ7" s="175"/>
      <c r="CK7" s="175"/>
      <c r="CL7" s="175"/>
      <c r="CM7" s="175"/>
      <c r="CN7" s="175"/>
      <c r="CO7" s="175"/>
      <c r="CP7" s="175"/>
      <c r="CQ7" s="175"/>
      <c r="CR7" s="175"/>
      <c r="CS7" s="175"/>
      <c r="CT7" s="175"/>
      <c r="CU7" s="175"/>
      <c r="CV7" s="175"/>
      <c r="CW7" s="175"/>
      <c r="CX7" s="175"/>
      <c r="CY7" s="175"/>
      <c r="CZ7" s="175"/>
      <c r="DA7" s="175"/>
      <c r="DB7" s="175"/>
      <c r="DC7" s="175"/>
      <c r="DD7" s="175"/>
      <c r="DE7" s="175"/>
      <c r="DF7" s="175"/>
      <c r="DG7" s="175"/>
      <c r="DH7" s="175"/>
      <c r="DI7" s="175"/>
      <c r="DJ7" s="175"/>
      <c r="DK7" s="175"/>
      <c r="DL7" s="175"/>
      <c r="DM7" s="175"/>
      <c r="DN7" s="175"/>
      <c r="DO7" s="175"/>
      <c r="DP7" s="175"/>
      <c r="DQ7" s="175"/>
      <c r="DR7" s="175"/>
      <c r="DS7" s="175"/>
      <c r="DT7" s="175"/>
      <c r="DU7" s="175"/>
      <c r="DV7" s="175"/>
      <c r="DW7" s="175"/>
      <c r="DX7" s="175"/>
      <c r="DY7" s="175"/>
      <c r="DZ7" s="175"/>
      <c r="EA7" s="175"/>
      <c r="EB7" s="175"/>
      <c r="EC7" s="175"/>
      <c r="ED7" s="175"/>
      <c r="EE7" s="175"/>
      <c r="EF7" s="175"/>
      <c r="EG7" s="175"/>
      <c r="EH7" s="175"/>
      <c r="EI7" s="175"/>
      <c r="EJ7" s="175"/>
      <c r="EK7" s="175"/>
      <c r="EL7" s="175"/>
      <c r="EM7" s="175"/>
      <c r="EN7" s="175"/>
      <c r="EO7" s="175"/>
      <c r="EP7" s="175"/>
      <c r="EQ7" s="175"/>
      <c r="ER7" s="175"/>
      <c r="ES7" s="175"/>
      <c r="ET7" s="175"/>
      <c r="EU7" s="175"/>
      <c r="EV7" s="175"/>
      <c r="EW7" s="175"/>
      <c r="EX7" s="175"/>
      <c r="EY7" s="175"/>
      <c r="EZ7" s="175"/>
      <c r="FA7" s="175"/>
      <c r="FB7" s="175"/>
      <c r="FC7" s="175"/>
      <c r="FD7" s="175"/>
      <c r="FE7" s="175"/>
      <c r="FF7" s="175"/>
      <c r="FG7" s="175"/>
      <c r="FH7" s="175"/>
      <c r="FI7" s="175"/>
      <c r="FJ7" s="175"/>
      <c r="FK7" s="175"/>
      <c r="FL7" s="175"/>
      <c r="FM7" s="175"/>
      <c r="FN7" s="175"/>
      <c r="FO7" s="175"/>
      <c r="FP7" s="175"/>
      <c r="FQ7" s="175"/>
      <c r="FR7" s="175"/>
      <c r="FS7" s="175"/>
      <c r="FT7" s="175"/>
      <c r="FU7" s="175"/>
      <c r="FV7" s="175"/>
      <c r="FW7" s="175"/>
      <c r="FX7" s="175"/>
      <c r="FY7" s="175"/>
      <c r="FZ7" s="175"/>
      <c r="GA7" s="175"/>
      <c r="GB7" s="175"/>
      <c r="GC7" s="175"/>
      <c r="GD7" s="175"/>
      <c r="GE7" s="175"/>
      <c r="GF7" s="175"/>
      <c r="GG7" s="175"/>
      <c r="GH7" s="175"/>
      <c r="GI7" s="175"/>
      <c r="GJ7" s="175"/>
      <c r="GK7" s="175"/>
      <c r="GL7" s="175"/>
      <c r="GM7" s="175"/>
      <c r="GN7" s="175"/>
      <c r="GO7" s="175"/>
      <c r="GP7" s="175"/>
      <c r="GQ7" s="175"/>
      <c r="GR7" s="175"/>
      <c r="GS7" s="175"/>
      <c r="GT7" s="175"/>
      <c r="GU7" s="175"/>
      <c r="GV7" s="175"/>
      <c r="GW7" s="175"/>
      <c r="GX7" s="175"/>
      <c r="GY7" s="175"/>
      <c r="GZ7" s="175"/>
    </row>
    <row r="8" spans="1:208" ht="15.75" customHeight="1" x14ac:dyDescent="0.25">
      <c r="A8" s="29" t="s">
        <v>26</v>
      </c>
      <c r="B8" s="19"/>
      <c r="C8" s="30"/>
      <c r="D8" s="27"/>
    </row>
    <row r="9" spans="1:208" x14ac:dyDescent="0.25">
      <c r="A9" s="31" t="s">
        <v>28</v>
      </c>
      <c r="B9" s="28">
        <v>30</v>
      </c>
      <c r="C9" s="32" t="s">
        <v>20</v>
      </c>
    </row>
    <row r="10" spans="1:208" x14ac:dyDescent="0.25">
      <c r="A10" s="31" t="s">
        <v>29</v>
      </c>
      <c r="B10" s="28">
        <v>0.02</v>
      </c>
      <c r="C10" s="32" t="s">
        <v>0</v>
      </c>
    </row>
    <row r="11" spans="1:208" x14ac:dyDescent="0.25">
      <c r="A11" s="31" t="s">
        <v>232</v>
      </c>
      <c r="B11" s="28">
        <v>10.5</v>
      </c>
      <c r="C11" s="32" t="s">
        <v>4</v>
      </c>
      <c r="D11" s="10"/>
      <c r="E11" s="10"/>
    </row>
    <row r="12" spans="1:208" s="14" customFormat="1" x14ac:dyDescent="0.25">
      <c r="A12" s="33" t="s">
        <v>237</v>
      </c>
      <c r="B12" s="28">
        <v>12</v>
      </c>
      <c r="C12" s="32" t="s">
        <v>18</v>
      </c>
    </row>
    <row r="13" spans="1:208" s="14" customFormat="1" x14ac:dyDescent="0.25">
      <c r="A13" s="33" t="s">
        <v>238</v>
      </c>
      <c r="B13" s="28">
        <v>1570</v>
      </c>
      <c r="C13" s="32" t="s">
        <v>18</v>
      </c>
    </row>
    <row r="14" spans="1:208" x14ac:dyDescent="0.25">
      <c r="A14" s="33" t="s">
        <v>212</v>
      </c>
      <c r="B14" s="28">
        <v>0.49</v>
      </c>
      <c r="C14" s="32" t="s">
        <v>13</v>
      </c>
    </row>
    <row r="15" spans="1:208" x14ac:dyDescent="0.25">
      <c r="A15" s="33" t="s">
        <v>213</v>
      </c>
      <c r="B15" s="28">
        <v>0.89800000000000002</v>
      </c>
      <c r="C15" s="32" t="s">
        <v>13</v>
      </c>
    </row>
    <row r="16" spans="1:208" x14ac:dyDescent="0.25">
      <c r="A16" s="33" t="s">
        <v>214</v>
      </c>
      <c r="B16" s="28">
        <v>1</v>
      </c>
      <c r="C16" s="32" t="s">
        <v>13</v>
      </c>
    </row>
    <row r="17" spans="1:208" x14ac:dyDescent="0.25">
      <c r="A17" s="31" t="s">
        <v>215</v>
      </c>
      <c r="B17" s="28">
        <v>150</v>
      </c>
      <c r="C17" s="32" t="s">
        <v>1</v>
      </c>
    </row>
    <row r="18" spans="1:208" x14ac:dyDescent="0.25">
      <c r="A18" s="31" t="s">
        <v>216</v>
      </c>
      <c r="B18" s="28">
        <v>50</v>
      </c>
      <c r="C18" s="32" t="s">
        <v>1</v>
      </c>
    </row>
    <row r="19" spans="1:208" ht="15.75" thickBot="1" x14ac:dyDescent="0.3">
      <c r="A19" s="49" t="s">
        <v>217</v>
      </c>
      <c r="B19" s="43">
        <v>10</v>
      </c>
      <c r="C19" s="44" t="s">
        <v>1</v>
      </c>
    </row>
    <row r="20" spans="1:208" s="23" customFormat="1" ht="15.75" thickBot="1" x14ac:dyDescent="0.3">
      <c r="A20" s="33"/>
      <c r="B20" s="14"/>
      <c r="C20" s="30"/>
      <c r="D20" s="14"/>
      <c r="E20" s="14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</row>
    <row r="21" spans="1:208" s="2" customFormat="1" ht="15.75" x14ac:dyDescent="0.25">
      <c r="A21" s="135" t="s">
        <v>30</v>
      </c>
      <c r="B21" s="182" t="s">
        <v>31</v>
      </c>
      <c r="C21" s="183" t="s">
        <v>77</v>
      </c>
      <c r="D21" s="4"/>
      <c r="E21" s="13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6"/>
      <c r="BK21" s="176"/>
      <c r="BL21" s="176"/>
      <c r="BM21" s="176"/>
      <c r="BN21" s="176"/>
      <c r="BO21" s="176"/>
      <c r="BP21" s="176"/>
      <c r="BQ21" s="176"/>
      <c r="BR21" s="176"/>
      <c r="BS21" s="176"/>
      <c r="BT21" s="176"/>
      <c r="BU21" s="176"/>
      <c r="BV21" s="176"/>
      <c r="BW21" s="176"/>
      <c r="BX21" s="176"/>
      <c r="BY21" s="176"/>
      <c r="BZ21" s="176"/>
      <c r="CA21" s="176"/>
      <c r="CB21" s="176"/>
      <c r="CC21" s="176"/>
      <c r="CD21" s="176"/>
      <c r="CE21" s="176"/>
      <c r="CF21" s="176"/>
      <c r="CG21" s="176"/>
      <c r="CH21" s="176"/>
      <c r="CI21" s="176"/>
      <c r="CJ21" s="176"/>
      <c r="CK21" s="176"/>
      <c r="CL21" s="176"/>
      <c r="CM21" s="176"/>
      <c r="CN21" s="176"/>
      <c r="CO21" s="176"/>
      <c r="CP21" s="176"/>
      <c r="CQ21" s="176"/>
      <c r="CR21" s="176"/>
      <c r="CS21" s="176"/>
      <c r="CT21" s="176"/>
      <c r="CU21" s="176"/>
      <c r="CV21" s="176"/>
      <c r="CW21" s="176"/>
      <c r="CX21" s="176"/>
      <c r="CY21" s="176"/>
      <c r="CZ21" s="176"/>
      <c r="DA21" s="176"/>
      <c r="DB21" s="176"/>
      <c r="DC21" s="176"/>
      <c r="DD21" s="176"/>
      <c r="DE21" s="176"/>
      <c r="DF21" s="176"/>
      <c r="DG21" s="176"/>
      <c r="DH21" s="176"/>
      <c r="DI21" s="176"/>
      <c r="DJ21" s="176"/>
      <c r="DK21" s="176"/>
      <c r="DL21" s="176"/>
      <c r="DM21" s="176"/>
      <c r="DN21" s="176"/>
      <c r="DO21" s="176"/>
      <c r="DP21" s="176"/>
      <c r="DQ21" s="176"/>
      <c r="DR21" s="176"/>
      <c r="DS21" s="176"/>
      <c r="DT21" s="176"/>
      <c r="DU21" s="176"/>
      <c r="DV21" s="176"/>
      <c r="DW21" s="176"/>
      <c r="DX21" s="176"/>
      <c r="DY21" s="176"/>
      <c r="DZ21" s="176"/>
      <c r="EA21" s="176"/>
      <c r="EB21" s="176"/>
      <c r="EC21" s="176"/>
      <c r="ED21" s="176"/>
      <c r="EE21" s="176"/>
      <c r="EF21" s="176"/>
      <c r="EG21" s="176"/>
      <c r="EH21" s="176"/>
      <c r="EI21" s="176"/>
      <c r="EJ21" s="176"/>
      <c r="EK21" s="176"/>
      <c r="EL21" s="176"/>
      <c r="EM21" s="176"/>
      <c r="EN21" s="176"/>
      <c r="EO21" s="176"/>
      <c r="EP21" s="176"/>
      <c r="EQ21" s="176"/>
      <c r="ER21" s="176"/>
      <c r="ES21" s="176"/>
      <c r="ET21" s="176"/>
      <c r="EU21" s="176"/>
      <c r="EV21" s="176"/>
      <c r="EW21" s="176"/>
      <c r="EX21" s="176"/>
      <c r="EY21" s="176"/>
      <c r="EZ21" s="176"/>
      <c r="FA21" s="176"/>
      <c r="FB21" s="176"/>
      <c r="FC21" s="176"/>
      <c r="FD21" s="176"/>
      <c r="FE21" s="176"/>
      <c r="FF21" s="176"/>
      <c r="FG21" s="176"/>
      <c r="FH21" s="176"/>
      <c r="FI21" s="176"/>
      <c r="FJ21" s="176"/>
      <c r="FK21" s="176"/>
      <c r="FL21" s="176"/>
      <c r="FM21" s="176"/>
      <c r="FN21" s="176"/>
      <c r="FO21" s="176"/>
      <c r="FP21" s="176"/>
      <c r="FQ21" s="176"/>
      <c r="FR21" s="176"/>
      <c r="FS21" s="176"/>
      <c r="FT21" s="176"/>
      <c r="FU21" s="176"/>
      <c r="FV21" s="176"/>
      <c r="FW21" s="176"/>
      <c r="FX21" s="176"/>
      <c r="FY21" s="176"/>
      <c r="FZ21" s="176"/>
      <c r="GA21" s="176"/>
      <c r="GB21" s="176"/>
      <c r="GC21" s="176"/>
      <c r="GD21" s="176"/>
      <c r="GE21" s="176"/>
      <c r="GF21" s="176"/>
      <c r="GG21" s="176"/>
      <c r="GH21" s="176"/>
      <c r="GI21" s="176"/>
      <c r="GJ21" s="176"/>
      <c r="GK21" s="176"/>
      <c r="GL21" s="176"/>
      <c r="GM21" s="176"/>
      <c r="GN21" s="176"/>
      <c r="GO21" s="176"/>
      <c r="GP21" s="176"/>
      <c r="GQ21" s="176"/>
      <c r="GR21" s="176"/>
      <c r="GS21" s="176"/>
      <c r="GT21" s="176"/>
      <c r="GU21" s="176"/>
      <c r="GV21" s="176"/>
      <c r="GW21" s="176"/>
      <c r="GX21" s="176"/>
      <c r="GY21" s="176"/>
      <c r="GZ21" s="176"/>
    </row>
    <row r="22" spans="1:208" ht="16.5" thickBot="1" x14ac:dyDescent="0.3">
      <c r="A22" s="184" t="s">
        <v>33</v>
      </c>
      <c r="B22" s="185">
        <v>0</v>
      </c>
      <c r="C22" s="171">
        <v>1</v>
      </c>
      <c r="D22" s="20"/>
      <c r="E22" s="10"/>
    </row>
    <row r="23" spans="1:208" ht="15.75" thickBot="1" x14ac:dyDescent="0.3">
      <c r="A23" s="35"/>
      <c r="B23" s="20"/>
      <c r="C23" s="36"/>
      <c r="D23" s="20"/>
      <c r="E23" s="10"/>
    </row>
    <row r="24" spans="1:208" ht="15.75" x14ac:dyDescent="0.25">
      <c r="A24" s="45" t="s">
        <v>200</v>
      </c>
      <c r="B24" s="46"/>
      <c r="C24" s="47"/>
      <c r="D24" s="4"/>
      <c r="E24" s="10"/>
    </row>
    <row r="25" spans="1:208" ht="15.75" thickBot="1" x14ac:dyDescent="0.3">
      <c r="A25" s="35" t="s">
        <v>236</v>
      </c>
      <c r="B25" s="28">
        <v>-10500</v>
      </c>
      <c r="C25" s="32" t="s">
        <v>2</v>
      </c>
      <c r="D25" s="20"/>
      <c r="E25" s="10"/>
    </row>
    <row r="26" spans="1:208" ht="15.75" thickBot="1" x14ac:dyDescent="0.3">
      <c r="A26" s="186" t="s">
        <v>80</v>
      </c>
      <c r="B26" s="187"/>
      <c r="C26" s="188"/>
      <c r="D26" s="20"/>
      <c r="E26" s="10"/>
    </row>
    <row r="27" spans="1:208" ht="15.75" x14ac:dyDescent="0.25">
      <c r="A27" s="37" t="s">
        <v>201</v>
      </c>
      <c r="B27" s="20"/>
      <c r="C27" s="36"/>
      <c r="D27" s="20"/>
      <c r="E27" s="10"/>
    </row>
    <row r="28" spans="1:208" ht="15.75" x14ac:dyDescent="0.25">
      <c r="A28" s="29" t="s">
        <v>35</v>
      </c>
      <c r="B28" s="20"/>
      <c r="C28" s="36"/>
      <c r="D28" s="18"/>
      <c r="E28" s="10"/>
    </row>
    <row r="29" spans="1:208" x14ac:dyDescent="0.25">
      <c r="A29" s="31" t="s">
        <v>5</v>
      </c>
      <c r="B29" s="28">
        <v>293</v>
      </c>
      <c r="C29" s="32" t="s">
        <v>6</v>
      </c>
      <c r="D29" s="10"/>
      <c r="E29" s="10"/>
    </row>
    <row r="30" spans="1:208" x14ac:dyDescent="0.25">
      <c r="A30" s="31" t="s">
        <v>36</v>
      </c>
      <c r="B30" s="28">
        <v>1.33</v>
      </c>
      <c r="C30" s="32" t="s">
        <v>50</v>
      </c>
      <c r="D30" s="10"/>
      <c r="E30" s="10"/>
    </row>
    <row r="31" spans="1:208" ht="15.75" x14ac:dyDescent="0.25">
      <c r="A31" s="37" t="s">
        <v>51</v>
      </c>
      <c r="B31" s="19"/>
      <c r="C31" s="38"/>
      <c r="D31" s="17"/>
      <c r="E31" s="10"/>
    </row>
    <row r="32" spans="1:208" x14ac:dyDescent="0.25">
      <c r="A32" s="29" t="s">
        <v>120</v>
      </c>
      <c r="B32" s="22" t="s">
        <v>119</v>
      </c>
      <c r="C32" s="39"/>
      <c r="D32" s="12"/>
      <c r="E32" s="10"/>
    </row>
    <row r="33" spans="1:5" s="1" customFormat="1" x14ac:dyDescent="0.25">
      <c r="A33" s="33" t="s">
        <v>52</v>
      </c>
      <c r="B33" s="28">
        <v>0.52</v>
      </c>
      <c r="C33" s="32" t="s">
        <v>13</v>
      </c>
      <c r="D33" s="14"/>
      <c r="E33" s="14"/>
    </row>
    <row r="34" spans="1:5" x14ac:dyDescent="0.25">
      <c r="A34" s="31" t="s">
        <v>53</v>
      </c>
      <c r="B34" s="28">
        <v>0</v>
      </c>
      <c r="C34" s="32" t="s">
        <v>20</v>
      </c>
      <c r="D34" s="10"/>
      <c r="E34" s="10"/>
    </row>
    <row r="35" spans="1:5" x14ac:dyDescent="0.25">
      <c r="A35" s="31" t="s">
        <v>247</v>
      </c>
      <c r="B35" s="28">
        <v>30</v>
      </c>
      <c r="C35" s="32" t="s">
        <v>20</v>
      </c>
      <c r="D35" s="10"/>
      <c r="E35" s="10"/>
    </row>
    <row r="36" spans="1:5" x14ac:dyDescent="0.25">
      <c r="A36" s="31" t="s">
        <v>54</v>
      </c>
      <c r="B36" s="28">
        <v>5</v>
      </c>
      <c r="C36" s="32" t="s">
        <v>4</v>
      </c>
      <c r="D36" s="10"/>
      <c r="E36" s="10"/>
    </row>
    <row r="37" spans="1:5" x14ac:dyDescent="0.25">
      <c r="A37" s="31" t="s">
        <v>55</v>
      </c>
      <c r="B37" s="28">
        <v>0.2</v>
      </c>
      <c r="C37" s="32" t="s">
        <v>0</v>
      </c>
      <c r="D37" s="10"/>
      <c r="E37" s="10"/>
    </row>
    <row r="38" spans="1:5" x14ac:dyDescent="0.25">
      <c r="A38" s="29" t="s">
        <v>120</v>
      </c>
      <c r="B38" s="22" t="s">
        <v>199</v>
      </c>
      <c r="C38" s="39"/>
      <c r="D38" s="12"/>
      <c r="E38" s="10"/>
    </row>
    <row r="39" spans="1:5" s="1" customFormat="1" x14ac:dyDescent="0.25">
      <c r="A39" s="33" t="s">
        <v>52</v>
      </c>
      <c r="B39" s="28">
        <v>0.48</v>
      </c>
      <c r="C39" s="32" t="s">
        <v>13</v>
      </c>
      <c r="D39" s="14"/>
      <c r="E39" s="14"/>
    </row>
    <row r="40" spans="1:5" x14ac:dyDescent="0.25">
      <c r="A40" s="31" t="s">
        <v>53</v>
      </c>
      <c r="B40" s="28">
        <v>15</v>
      </c>
      <c r="C40" s="32" t="s">
        <v>20</v>
      </c>
      <c r="D40" s="10"/>
      <c r="E40" s="10"/>
    </row>
    <row r="41" spans="1:5" x14ac:dyDescent="0.25">
      <c r="A41" s="31" t="s">
        <v>247</v>
      </c>
      <c r="B41" s="28">
        <v>30</v>
      </c>
      <c r="C41" s="32" t="s">
        <v>20</v>
      </c>
      <c r="D41" s="10"/>
      <c r="E41" s="10"/>
    </row>
    <row r="42" spans="1:5" x14ac:dyDescent="0.25">
      <c r="A42" s="31" t="s">
        <v>54</v>
      </c>
      <c r="B42" s="28">
        <v>2.27</v>
      </c>
      <c r="C42" s="32" t="s">
        <v>4</v>
      </c>
      <c r="D42" s="10"/>
      <c r="E42" s="10"/>
    </row>
    <row r="43" spans="1:5" x14ac:dyDescent="0.25">
      <c r="A43" s="31" t="s">
        <v>55</v>
      </c>
      <c r="B43" s="28">
        <v>0.2</v>
      </c>
      <c r="C43" s="32" t="s">
        <v>0</v>
      </c>
      <c r="D43" s="10"/>
      <c r="E43" s="10"/>
    </row>
    <row r="44" spans="1:5" x14ac:dyDescent="0.25">
      <c r="A44" s="29" t="s">
        <v>59</v>
      </c>
      <c r="B44" s="172" t="s">
        <v>60</v>
      </c>
      <c r="C44" s="30"/>
      <c r="D44" s="10"/>
      <c r="E44" s="10"/>
    </row>
    <row r="45" spans="1:5" s="1" customFormat="1" x14ac:dyDescent="0.25">
      <c r="A45" s="33" t="s">
        <v>84</v>
      </c>
      <c r="B45" s="173">
        <v>1</v>
      </c>
      <c r="C45" s="34"/>
      <c r="D45" s="14"/>
      <c r="E45" s="14"/>
    </row>
    <row r="46" spans="1:5" s="1" customFormat="1" x14ac:dyDescent="0.25">
      <c r="A46" s="33" t="s">
        <v>85</v>
      </c>
      <c r="B46" s="173">
        <v>1</v>
      </c>
      <c r="C46" s="34"/>
      <c r="D46" s="14"/>
      <c r="E46" s="14"/>
    </row>
    <row r="47" spans="1:5" s="1" customFormat="1" x14ac:dyDescent="0.25">
      <c r="A47" s="33" t="s">
        <v>86</v>
      </c>
      <c r="B47" s="173">
        <v>0</v>
      </c>
      <c r="C47" s="34"/>
      <c r="D47" s="14"/>
      <c r="E47" s="14"/>
    </row>
    <row r="48" spans="1:5" s="1" customFormat="1" x14ac:dyDescent="0.25">
      <c r="A48" s="33" t="s">
        <v>87</v>
      </c>
      <c r="B48" s="173">
        <v>0</v>
      </c>
      <c r="C48" s="34"/>
      <c r="D48" s="14"/>
      <c r="E48" s="14"/>
    </row>
    <row r="49" spans="1:208" s="1" customFormat="1" x14ac:dyDescent="0.25">
      <c r="A49" s="33" t="s">
        <v>88</v>
      </c>
      <c r="B49" s="173">
        <v>1</v>
      </c>
      <c r="C49" s="34"/>
      <c r="D49" s="14"/>
      <c r="E49" s="14"/>
    </row>
    <row r="50" spans="1:208" s="1" customFormat="1" x14ac:dyDescent="0.25">
      <c r="A50" s="33" t="s">
        <v>94</v>
      </c>
      <c r="B50" s="173" t="s">
        <v>202</v>
      </c>
      <c r="C50" s="34"/>
      <c r="D50" s="14"/>
      <c r="E50" s="14"/>
    </row>
    <row r="51" spans="1:208" s="1" customFormat="1" x14ac:dyDescent="0.25">
      <c r="A51" s="33" t="s">
        <v>89</v>
      </c>
      <c r="B51" s="173" t="s">
        <v>202</v>
      </c>
      <c r="C51" s="34"/>
      <c r="D51" s="14"/>
      <c r="E51" s="14"/>
    </row>
    <row r="52" spans="1:208" s="12" customFormat="1" x14ac:dyDescent="0.25">
      <c r="A52" s="29" t="s">
        <v>61</v>
      </c>
      <c r="B52" s="15" t="s">
        <v>62</v>
      </c>
      <c r="C52" s="30" t="s">
        <v>72</v>
      </c>
      <c r="D52" s="10"/>
      <c r="E52" s="1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</row>
    <row r="53" spans="1:208" x14ac:dyDescent="0.25">
      <c r="A53" s="31" t="s">
        <v>63</v>
      </c>
      <c r="B53" s="28">
        <v>50</v>
      </c>
      <c r="C53" s="32">
        <v>21</v>
      </c>
      <c r="D53" s="10"/>
      <c r="E53" s="10"/>
    </row>
    <row r="54" spans="1:208" x14ac:dyDescent="0.25">
      <c r="A54" s="31" t="s">
        <v>64</v>
      </c>
      <c r="B54" s="28">
        <v>50</v>
      </c>
      <c r="C54" s="32">
        <v>19.41</v>
      </c>
      <c r="D54" s="10"/>
      <c r="E54" s="10"/>
    </row>
    <row r="55" spans="1:208" x14ac:dyDescent="0.25">
      <c r="A55" s="29" t="s">
        <v>65</v>
      </c>
      <c r="B55" s="15" t="s">
        <v>71</v>
      </c>
      <c r="C55" s="40" t="s">
        <v>73</v>
      </c>
      <c r="D55" s="10"/>
      <c r="E55" s="10"/>
    </row>
    <row r="56" spans="1:208" x14ac:dyDescent="0.25">
      <c r="A56" s="31" t="s">
        <v>66</v>
      </c>
      <c r="B56" s="28">
        <v>0</v>
      </c>
      <c r="C56" s="32">
        <v>85</v>
      </c>
      <c r="D56" s="10"/>
      <c r="E56" s="10"/>
    </row>
    <row r="57" spans="1:208" x14ac:dyDescent="0.25">
      <c r="A57" s="31" t="s">
        <v>67</v>
      </c>
      <c r="B57" s="28">
        <v>0</v>
      </c>
      <c r="C57" s="32">
        <v>70</v>
      </c>
      <c r="D57" s="10"/>
      <c r="E57" s="10"/>
    </row>
    <row r="58" spans="1:208" x14ac:dyDescent="0.25">
      <c r="A58" s="31" t="s">
        <v>68</v>
      </c>
      <c r="B58" s="28">
        <v>0</v>
      </c>
      <c r="C58" s="32">
        <v>55</v>
      </c>
      <c r="D58" s="10"/>
      <c r="E58" s="10"/>
    </row>
    <row r="59" spans="1:208" x14ac:dyDescent="0.25">
      <c r="A59" s="31" t="s">
        <v>69</v>
      </c>
      <c r="B59" s="28">
        <v>50</v>
      </c>
      <c r="C59" s="32">
        <v>35</v>
      </c>
      <c r="D59" s="10"/>
      <c r="E59" s="10"/>
    </row>
    <row r="60" spans="1:208" x14ac:dyDescent="0.25">
      <c r="A60" s="31" t="s">
        <v>70</v>
      </c>
      <c r="B60" s="28">
        <f>100-B56-B57-B58-B59</f>
        <v>50</v>
      </c>
      <c r="C60" s="32">
        <v>30</v>
      </c>
      <c r="D60" s="10"/>
      <c r="E60" s="10"/>
    </row>
    <row r="61" spans="1:208" x14ac:dyDescent="0.25">
      <c r="A61" s="31" t="s">
        <v>58</v>
      </c>
      <c r="B61" s="174">
        <v>0.1</v>
      </c>
      <c r="C61" s="32" t="s">
        <v>0</v>
      </c>
      <c r="D61" s="10"/>
      <c r="E61" s="10"/>
    </row>
    <row r="62" spans="1:208" x14ac:dyDescent="0.25">
      <c r="A62" s="41" t="s">
        <v>74</v>
      </c>
      <c r="B62" s="19"/>
      <c r="C62" s="30"/>
      <c r="D62" s="10"/>
      <c r="E62" s="10"/>
    </row>
    <row r="63" spans="1:208" x14ac:dyDescent="0.25">
      <c r="A63" s="31" t="s">
        <v>90</v>
      </c>
      <c r="B63" s="28">
        <v>35</v>
      </c>
      <c r="C63" s="32" t="s">
        <v>11</v>
      </c>
      <c r="D63" s="10"/>
      <c r="E63" s="10"/>
    </row>
    <row r="64" spans="1:208" x14ac:dyDescent="0.25">
      <c r="A64" s="33" t="s">
        <v>91</v>
      </c>
      <c r="B64" s="28">
        <v>3</v>
      </c>
      <c r="C64" s="32" t="s">
        <v>11</v>
      </c>
      <c r="D64" s="14"/>
      <c r="E64" s="10"/>
    </row>
    <row r="65" spans="1:5" x14ac:dyDescent="0.25">
      <c r="A65" s="33" t="s">
        <v>92</v>
      </c>
      <c r="B65" s="28">
        <v>30</v>
      </c>
      <c r="C65" s="32" t="s">
        <v>11</v>
      </c>
      <c r="D65" s="14"/>
      <c r="E65" s="10"/>
    </row>
    <row r="66" spans="1:5" x14ac:dyDescent="0.25">
      <c r="A66" s="33" t="s">
        <v>93</v>
      </c>
      <c r="B66" s="28">
        <v>50</v>
      </c>
      <c r="C66" s="32" t="s">
        <v>11</v>
      </c>
      <c r="D66" s="14"/>
      <c r="E66" s="10"/>
    </row>
    <row r="67" spans="1:5" x14ac:dyDescent="0.25">
      <c r="A67" s="33" t="s">
        <v>95</v>
      </c>
      <c r="B67" s="28">
        <v>50</v>
      </c>
      <c r="C67" s="32" t="s">
        <v>11</v>
      </c>
      <c r="D67" s="14"/>
      <c r="E67" s="10"/>
    </row>
    <row r="68" spans="1:5" ht="15.75" thickBot="1" x14ac:dyDescent="0.3">
      <c r="A68" s="42" t="s">
        <v>96</v>
      </c>
      <c r="B68" s="43">
        <v>3</v>
      </c>
      <c r="C68" s="44" t="s">
        <v>21</v>
      </c>
      <c r="D68" s="14"/>
      <c r="E68" s="10"/>
    </row>
    <row r="69" spans="1:5" ht="15.75" thickBot="1" x14ac:dyDescent="0.3">
      <c r="A69" s="20"/>
      <c r="B69" s="20"/>
      <c r="C69" s="20"/>
      <c r="D69" s="20"/>
      <c r="E69" s="10"/>
    </row>
    <row r="70" spans="1:5" s="14" customFormat="1" ht="16.5" thickBot="1" x14ac:dyDescent="0.3">
      <c r="A70" s="238" t="s">
        <v>192</v>
      </c>
      <c r="B70" s="266"/>
      <c r="C70" s="266"/>
      <c r="D70" s="267"/>
    </row>
    <row r="71" spans="1:5" s="14" customFormat="1" x14ac:dyDescent="0.25">
      <c r="A71" s="148" t="s">
        <v>76</v>
      </c>
      <c r="B71" s="189"/>
      <c r="C71" s="189"/>
      <c r="D71" s="149" t="s">
        <v>45</v>
      </c>
    </row>
    <row r="72" spans="1:5" s="14" customFormat="1" ht="15.75" thickBot="1" x14ac:dyDescent="0.3">
      <c r="A72" s="199" t="s">
        <v>27</v>
      </c>
      <c r="B72" s="43">
        <v>0.4</v>
      </c>
      <c r="C72" s="43" t="s">
        <v>13</v>
      </c>
      <c r="D72" s="282" t="s">
        <v>252</v>
      </c>
    </row>
    <row r="73" spans="1:5" s="14" customFormat="1" ht="15.75" thickBot="1" x14ac:dyDescent="0.3">
      <c r="A73" s="41"/>
      <c r="B73" s="179"/>
      <c r="D73" s="191"/>
    </row>
    <row r="74" spans="1:5" s="168" customFormat="1" ht="15.75" x14ac:dyDescent="0.25">
      <c r="A74" s="148" t="s">
        <v>30</v>
      </c>
      <c r="B74" s="182" t="s">
        <v>31</v>
      </c>
      <c r="C74" s="189" t="s">
        <v>77</v>
      </c>
      <c r="D74" s="200"/>
    </row>
    <row r="75" spans="1:5" s="14" customFormat="1" ht="15.75" thickBot="1" x14ac:dyDescent="0.3">
      <c r="A75" s="201" t="s">
        <v>32</v>
      </c>
      <c r="B75" s="185">
        <v>0</v>
      </c>
      <c r="C75" s="185">
        <v>1</v>
      </c>
      <c r="D75" s="202"/>
    </row>
    <row r="76" spans="1:5" s="14" customFormat="1" ht="15.75" thickBot="1" x14ac:dyDescent="0.3">
      <c r="A76" s="194"/>
      <c r="D76" s="193"/>
    </row>
    <row r="77" spans="1:5" s="14" customFormat="1" ht="15.75" x14ac:dyDescent="0.25">
      <c r="A77" s="45" t="s">
        <v>200</v>
      </c>
      <c r="B77" s="189"/>
      <c r="C77" s="189"/>
      <c r="D77" s="203"/>
    </row>
    <row r="78" spans="1:5" s="14" customFormat="1" ht="15.75" thickBot="1" x14ac:dyDescent="0.3">
      <c r="A78" s="201" t="s">
        <v>37</v>
      </c>
      <c r="B78" s="43">
        <v>450000</v>
      </c>
      <c r="C78" s="43" t="s">
        <v>2</v>
      </c>
      <c r="D78" s="202"/>
    </row>
    <row r="79" spans="1:5" s="14" customFormat="1" ht="15.75" thickBot="1" x14ac:dyDescent="0.3">
      <c r="A79" s="196" t="s">
        <v>80</v>
      </c>
      <c r="B79" s="178"/>
      <c r="C79" s="178"/>
      <c r="D79" s="193"/>
    </row>
    <row r="80" spans="1:5" s="14" customFormat="1" ht="15.75" x14ac:dyDescent="0.25">
      <c r="A80" s="45" t="s">
        <v>201</v>
      </c>
      <c r="B80" s="204"/>
      <c r="C80" s="204"/>
      <c r="D80" s="200"/>
    </row>
    <row r="81" spans="1:4" s="14" customFormat="1" ht="15.75" x14ac:dyDescent="0.25">
      <c r="A81" s="41" t="s">
        <v>56</v>
      </c>
      <c r="D81" s="169" t="s">
        <v>45</v>
      </c>
    </row>
    <row r="82" spans="1:4" s="14" customFormat="1" x14ac:dyDescent="0.25">
      <c r="A82" s="194" t="s">
        <v>57</v>
      </c>
      <c r="B82" s="28">
        <v>1</v>
      </c>
      <c r="C82" s="28" t="s">
        <v>13</v>
      </c>
      <c r="D82" s="197" t="s">
        <v>48</v>
      </c>
    </row>
    <row r="83" spans="1:4" s="14" customFormat="1" x14ac:dyDescent="0.25">
      <c r="A83" s="33" t="s">
        <v>46</v>
      </c>
      <c r="B83" s="28">
        <v>1.02</v>
      </c>
      <c r="C83" s="28" t="s">
        <v>13</v>
      </c>
      <c r="D83" s="198" t="s">
        <v>49</v>
      </c>
    </row>
    <row r="84" spans="1:4" s="14" customFormat="1" x14ac:dyDescent="0.25">
      <c r="A84" s="33" t="s">
        <v>47</v>
      </c>
      <c r="B84" s="28">
        <v>1.05</v>
      </c>
      <c r="C84" s="28" t="s">
        <v>13</v>
      </c>
      <c r="D84" s="198" t="s">
        <v>49</v>
      </c>
    </row>
    <row r="85" spans="1:4" s="14" customFormat="1" ht="15.75" x14ac:dyDescent="0.25">
      <c r="A85" s="41" t="s">
        <v>39</v>
      </c>
      <c r="D85" s="195"/>
    </row>
    <row r="86" spans="1:4" s="14" customFormat="1" x14ac:dyDescent="0.25">
      <c r="A86" s="33" t="s">
        <v>40</v>
      </c>
      <c r="B86" s="28">
        <v>231.81</v>
      </c>
      <c r="C86" s="28" t="s">
        <v>38</v>
      </c>
      <c r="D86" s="34"/>
    </row>
    <row r="87" spans="1:4" s="14" customFormat="1" x14ac:dyDescent="0.25">
      <c r="A87" s="33" t="s">
        <v>41</v>
      </c>
      <c r="B87" s="28">
        <v>262.7</v>
      </c>
      <c r="C87" s="28" t="s">
        <v>38</v>
      </c>
      <c r="D87" s="34"/>
    </row>
    <row r="88" spans="1:4" s="14" customFormat="1" x14ac:dyDescent="0.25">
      <c r="A88" s="33" t="s">
        <v>43</v>
      </c>
      <c r="B88" s="28">
        <v>303.89999999999998</v>
      </c>
      <c r="C88" s="28" t="s">
        <v>38</v>
      </c>
      <c r="D88" s="34"/>
    </row>
    <row r="89" spans="1:4" s="14" customFormat="1" x14ac:dyDescent="0.25">
      <c r="A89" s="33" t="s">
        <v>42</v>
      </c>
      <c r="B89" s="28">
        <v>427.53</v>
      </c>
      <c r="C89" s="28" t="s">
        <v>38</v>
      </c>
      <c r="D89" s="34"/>
    </row>
    <row r="90" spans="1:4" s="14" customFormat="1" ht="15.75" thickBot="1" x14ac:dyDescent="0.3">
      <c r="A90" s="42" t="s">
        <v>44</v>
      </c>
      <c r="B90" s="43">
        <v>468.74</v>
      </c>
      <c r="C90" s="43" t="s">
        <v>38</v>
      </c>
      <c r="D90" s="150"/>
    </row>
    <row r="91" spans="1:4" s="14" customFormat="1" ht="15.75" thickBot="1" x14ac:dyDescent="0.3">
      <c r="A91" s="180"/>
      <c r="B91" s="180"/>
      <c r="C91" s="180"/>
      <c r="D91" s="180"/>
    </row>
    <row r="92" spans="1:4" s="14" customFormat="1" ht="16.5" thickBot="1" x14ac:dyDescent="0.3">
      <c r="A92" s="268" t="s">
        <v>193</v>
      </c>
      <c r="B92" s="269"/>
      <c r="C92" s="270"/>
    </row>
    <row r="93" spans="1:4" s="14" customFormat="1" x14ac:dyDescent="0.25">
      <c r="A93" s="148" t="s">
        <v>97</v>
      </c>
      <c r="B93" s="189"/>
      <c r="C93" s="190"/>
    </row>
    <row r="94" spans="1:4" s="14" customFormat="1" x14ac:dyDescent="0.25">
      <c r="A94" s="41" t="s">
        <v>203</v>
      </c>
      <c r="C94" s="34"/>
    </row>
    <row r="95" spans="1:4" s="14" customFormat="1" x14ac:dyDescent="0.25">
      <c r="A95" s="33" t="s">
        <v>24</v>
      </c>
      <c r="B95" s="28">
        <v>5.79</v>
      </c>
      <c r="C95" s="32" t="s">
        <v>19</v>
      </c>
    </row>
    <row r="96" spans="1:4" s="14" customFormat="1" x14ac:dyDescent="0.25">
      <c r="A96" s="64" t="s">
        <v>98</v>
      </c>
      <c r="B96" s="28">
        <v>0.7</v>
      </c>
      <c r="C96" s="32"/>
    </row>
    <row r="97" spans="1:3" s="14" customFormat="1" x14ac:dyDescent="0.25">
      <c r="A97" s="41" t="s">
        <v>204</v>
      </c>
      <c r="C97" s="34"/>
    </row>
    <row r="98" spans="1:3" s="14" customFormat="1" x14ac:dyDescent="0.25">
      <c r="A98" s="33" t="s">
        <v>24</v>
      </c>
      <c r="B98" s="28">
        <v>0</v>
      </c>
      <c r="C98" s="32" t="s">
        <v>2</v>
      </c>
    </row>
    <row r="99" spans="1:3" s="14" customFormat="1" x14ac:dyDescent="0.25">
      <c r="A99" s="33" t="s">
        <v>99</v>
      </c>
      <c r="B99" s="28">
        <v>0</v>
      </c>
      <c r="C99" s="32" t="s">
        <v>78</v>
      </c>
    </row>
    <row r="100" spans="1:3" s="14" customFormat="1" x14ac:dyDescent="0.25">
      <c r="A100" s="64" t="s">
        <v>98</v>
      </c>
      <c r="B100" s="28">
        <v>0</v>
      </c>
      <c r="C100" s="32"/>
    </row>
    <row r="101" spans="1:3" s="14" customFormat="1" x14ac:dyDescent="0.25">
      <c r="A101" s="41" t="s">
        <v>205</v>
      </c>
      <c r="B101" s="181"/>
      <c r="C101" s="34"/>
    </row>
    <row r="102" spans="1:3" s="14" customFormat="1" x14ac:dyDescent="0.25">
      <c r="A102" s="64" t="s">
        <v>100</v>
      </c>
      <c r="B102" s="28">
        <v>4427000</v>
      </c>
      <c r="C102" s="32" t="s">
        <v>2</v>
      </c>
    </row>
    <row r="103" spans="1:3" s="14" customFormat="1" x14ac:dyDescent="0.25">
      <c r="A103" s="64" t="s">
        <v>99</v>
      </c>
      <c r="B103" s="28">
        <v>0.1</v>
      </c>
      <c r="C103" s="32" t="s">
        <v>78</v>
      </c>
    </row>
    <row r="104" spans="1:3" s="14" customFormat="1" ht="15.75" thickBot="1" x14ac:dyDescent="0.3">
      <c r="A104" s="56" t="s">
        <v>101</v>
      </c>
      <c r="B104" s="43">
        <v>0.5</v>
      </c>
      <c r="C104" s="44"/>
    </row>
    <row r="105" spans="1:3" s="14" customFormat="1" x14ac:dyDescent="0.25">
      <c r="A105" s="41" t="s">
        <v>206</v>
      </c>
      <c r="C105" s="34"/>
    </row>
    <row r="106" spans="1:3" s="14" customFormat="1" x14ac:dyDescent="0.25">
      <c r="A106" s="33" t="s">
        <v>24</v>
      </c>
      <c r="B106" s="28">
        <v>11.6</v>
      </c>
      <c r="C106" s="32" t="s">
        <v>79</v>
      </c>
    </row>
    <row r="107" spans="1:3" s="14" customFormat="1" x14ac:dyDescent="0.25">
      <c r="A107" s="64" t="s">
        <v>98</v>
      </c>
      <c r="B107" s="28">
        <v>0.4</v>
      </c>
      <c r="C107" s="32"/>
    </row>
    <row r="108" spans="1:3" s="14" customFormat="1" x14ac:dyDescent="0.25">
      <c r="A108" s="41" t="s">
        <v>207</v>
      </c>
      <c r="C108" s="34"/>
    </row>
    <row r="109" spans="1:3" s="14" customFormat="1" x14ac:dyDescent="0.25">
      <c r="A109" s="33" t="s">
        <v>24</v>
      </c>
      <c r="B109" s="28">
        <v>25000</v>
      </c>
      <c r="C109" s="32" t="s">
        <v>2</v>
      </c>
    </row>
    <row r="110" spans="1:3" s="14" customFormat="1" x14ac:dyDescent="0.25">
      <c r="A110" s="33" t="s">
        <v>99</v>
      </c>
      <c r="B110" s="28">
        <f>219000/219000</f>
        <v>1</v>
      </c>
      <c r="C110" s="32" t="s">
        <v>78</v>
      </c>
    </row>
    <row r="111" spans="1:3" s="14" customFormat="1" x14ac:dyDescent="0.25">
      <c r="A111" s="64" t="s">
        <v>98</v>
      </c>
      <c r="B111" s="28">
        <v>1</v>
      </c>
      <c r="C111" s="32"/>
    </row>
    <row r="112" spans="1:3" s="14" customFormat="1" x14ac:dyDescent="0.25">
      <c r="A112" s="41" t="s">
        <v>208</v>
      </c>
      <c r="B112" s="179"/>
      <c r="C112" s="34"/>
    </row>
    <row r="113" spans="1:3" s="14" customFormat="1" x14ac:dyDescent="0.25">
      <c r="A113" s="64" t="s">
        <v>100</v>
      </c>
      <c r="B113" s="28">
        <v>4427000</v>
      </c>
      <c r="C113" s="32" t="s">
        <v>2</v>
      </c>
    </row>
    <row r="114" spans="1:3" s="14" customFormat="1" x14ac:dyDescent="0.25">
      <c r="A114" s="64" t="s">
        <v>99</v>
      </c>
      <c r="B114" s="28">
        <v>1</v>
      </c>
      <c r="C114" s="32" t="s">
        <v>78</v>
      </c>
    </row>
    <row r="115" spans="1:3" s="14" customFormat="1" ht="15.75" thickBot="1" x14ac:dyDescent="0.3">
      <c r="A115" s="64" t="s">
        <v>101</v>
      </c>
      <c r="B115" s="205">
        <v>0.5</v>
      </c>
      <c r="C115" s="206"/>
    </row>
    <row r="116" spans="1:3" s="14" customFormat="1" x14ac:dyDescent="0.25">
      <c r="A116" s="148" t="s">
        <v>209</v>
      </c>
      <c r="B116" s="189"/>
      <c r="C116" s="190"/>
    </row>
    <row r="117" spans="1:3" s="14" customFormat="1" x14ac:dyDescent="0.25">
      <c r="A117" s="33" t="s">
        <v>24</v>
      </c>
      <c r="B117" s="28">
        <v>11.6</v>
      </c>
      <c r="C117" s="32" t="s">
        <v>79</v>
      </c>
    </row>
    <row r="118" spans="1:3" s="14" customFormat="1" x14ac:dyDescent="0.25">
      <c r="A118" s="64" t="s">
        <v>98</v>
      </c>
      <c r="B118" s="28">
        <v>0.2</v>
      </c>
      <c r="C118" s="32"/>
    </row>
    <row r="119" spans="1:3" s="14" customFormat="1" x14ac:dyDescent="0.25">
      <c r="A119" s="41" t="s">
        <v>210</v>
      </c>
      <c r="C119" s="34"/>
    </row>
    <row r="120" spans="1:3" s="14" customFormat="1" x14ac:dyDescent="0.25">
      <c r="A120" s="33" t="s">
        <v>24</v>
      </c>
      <c r="B120" s="28">
        <v>25000</v>
      </c>
      <c r="C120" s="32" t="s">
        <v>2</v>
      </c>
    </row>
    <row r="121" spans="1:3" s="14" customFormat="1" x14ac:dyDescent="0.25">
      <c r="A121" s="33" t="s">
        <v>99</v>
      </c>
      <c r="B121" s="28">
        <v>3</v>
      </c>
      <c r="C121" s="32" t="s">
        <v>78</v>
      </c>
    </row>
    <row r="122" spans="1:3" s="14" customFormat="1" x14ac:dyDescent="0.25">
      <c r="A122" s="64" t="s">
        <v>98</v>
      </c>
      <c r="B122" s="28">
        <v>1</v>
      </c>
      <c r="C122" s="32"/>
    </row>
    <row r="123" spans="1:3" s="14" customFormat="1" x14ac:dyDescent="0.25">
      <c r="A123" s="41" t="s">
        <v>211</v>
      </c>
      <c r="B123" s="179"/>
      <c r="C123" s="34"/>
    </row>
    <row r="124" spans="1:3" s="14" customFormat="1" x14ac:dyDescent="0.25">
      <c r="A124" s="64" t="s">
        <v>100</v>
      </c>
      <c r="B124" s="28">
        <v>4427000</v>
      </c>
      <c r="C124" s="32" t="s">
        <v>2</v>
      </c>
    </row>
    <row r="125" spans="1:3" s="14" customFormat="1" x14ac:dyDescent="0.25">
      <c r="A125" s="64" t="s">
        <v>99</v>
      </c>
      <c r="B125" s="28">
        <v>5</v>
      </c>
      <c r="C125" s="32" t="s">
        <v>78</v>
      </c>
    </row>
    <row r="126" spans="1:3" s="14" customFormat="1" ht="15.75" thickBot="1" x14ac:dyDescent="0.3">
      <c r="A126" s="56" t="s">
        <v>101</v>
      </c>
      <c r="B126" s="43">
        <v>0.5</v>
      </c>
      <c r="C126" s="44"/>
    </row>
    <row r="127" spans="1:3" s="14" customFormat="1" x14ac:dyDescent="0.25">
      <c r="B127" s="179"/>
    </row>
    <row r="128" spans="1:3" s="14" customFormat="1" x14ac:dyDescent="0.25">
      <c r="B128" s="179"/>
    </row>
    <row r="129" spans="2:2" s="14" customFormat="1" x14ac:dyDescent="0.25">
      <c r="B129" s="179"/>
    </row>
    <row r="130" spans="2:2" s="14" customFormat="1" x14ac:dyDescent="0.25">
      <c r="B130" s="179"/>
    </row>
    <row r="131" spans="2:2" s="14" customFormat="1" x14ac:dyDescent="0.25">
      <c r="B131" s="179"/>
    </row>
    <row r="132" spans="2:2" s="14" customFormat="1" x14ac:dyDescent="0.25">
      <c r="B132" s="179"/>
    </row>
    <row r="133" spans="2:2" s="14" customFormat="1" x14ac:dyDescent="0.25">
      <c r="B133" s="17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60"/>
  <sheetViews>
    <sheetView topLeftCell="A47" zoomScale="130" zoomScaleNormal="130" workbookViewId="0">
      <selection activeCell="B30" sqref="B30"/>
    </sheetView>
  </sheetViews>
  <sheetFormatPr defaultRowHeight="15" x14ac:dyDescent="0.25"/>
  <cols>
    <col min="1" max="1" width="50.85546875" bestFit="1" customWidth="1"/>
    <col min="2" max="2" width="14.28515625" bestFit="1" customWidth="1"/>
    <col min="3" max="3" width="15.42578125" bestFit="1" customWidth="1"/>
    <col min="4" max="4" width="12.140625" customWidth="1"/>
    <col min="5" max="5" width="46.5703125" bestFit="1" customWidth="1"/>
    <col min="6" max="6" width="9" bestFit="1" customWidth="1"/>
    <col min="7" max="7" width="14.5703125" bestFit="1" customWidth="1"/>
    <col min="8" max="23" width="12.140625" customWidth="1"/>
  </cols>
  <sheetData>
    <row r="1" spans="1:7" s="5" customFormat="1" ht="18.75" x14ac:dyDescent="0.3">
      <c r="A1" s="5" t="s">
        <v>81</v>
      </c>
    </row>
    <row r="2" spans="1:7" s="5" customFormat="1" ht="18.75" x14ac:dyDescent="0.3"/>
    <row r="3" spans="1:7" ht="15.75" thickBot="1" x14ac:dyDescent="0.3">
      <c r="A3" t="s">
        <v>221</v>
      </c>
    </row>
    <row r="4" spans="1:7" s="4" customFormat="1" ht="16.5" thickBot="1" x14ac:dyDescent="0.3">
      <c r="A4" s="213" t="s">
        <v>223</v>
      </c>
      <c r="B4" s="216">
        <f>IF(B33=0,B29,IF(B33=1,(B29+((B29+B34)/((1+Input!B10)^25))),IF(B33=2,(B29+((B29+B34)/((1+Input!B10)^25)+((B29+B34)/((1+Input!B10)^50)))),(B29+((B29+B34)/((1+Input!B10)^25)+((B29+B34)/((1+Input!B10)^50))+((B29+B34)/((1+Input!B10)^75)))))))</f>
        <v>913043.02533942461</v>
      </c>
      <c r="C4" s="215" t="s">
        <v>2</v>
      </c>
      <c r="E4" s="213" t="s">
        <v>224</v>
      </c>
      <c r="F4" s="214">
        <f>IF(F33=0,F29,IF(F33=1,(F29+((F29+F34)/((1+Legend!A8)^25))),IF(F33=2,(F29+((F29+F34)/((1+Legend!A8)^25)+((F29+F34)/((1+Legend!A8)^50)))),(F29+((F29+F34)/((1+Legend!A8)^25)+((F29+F34)/((1+Legend!A8)^50))+((F29+F34)/((1+Legend!A8)^75)))))))</f>
        <v>130393.125</v>
      </c>
      <c r="G4" s="215" t="s">
        <v>2</v>
      </c>
    </row>
    <row r="6" spans="1:7" ht="15.75" thickBot="1" x14ac:dyDescent="0.3">
      <c r="A6" t="s">
        <v>222</v>
      </c>
    </row>
    <row r="7" spans="1:7" ht="15.75" x14ac:dyDescent="0.25">
      <c r="A7" s="45" t="s">
        <v>82</v>
      </c>
      <c r="B7" s="46"/>
      <c r="C7" s="47"/>
      <c r="E7" s="45" t="s">
        <v>83</v>
      </c>
      <c r="F7" s="46"/>
      <c r="G7" s="47"/>
    </row>
    <row r="8" spans="1:7" s="3" customFormat="1" ht="15.75" thickBot="1" x14ac:dyDescent="0.3">
      <c r="A8" s="52" t="s">
        <v>218</v>
      </c>
      <c r="B8" s="222">
        <f>Input!$B$13*Input!$B$82*Input!$B$83*Input!$B$84</f>
        <v>1681.4700000000003</v>
      </c>
      <c r="C8" s="209" t="s">
        <v>16</v>
      </c>
      <c r="D8" s="224"/>
      <c r="E8" s="52" t="s">
        <v>218</v>
      </c>
      <c r="F8" s="222">
        <f>Input!$B$12*Input!$B$82*Input!$B$83*Input!$B$84</f>
        <v>12.852</v>
      </c>
      <c r="G8" s="209" t="s">
        <v>16</v>
      </c>
    </row>
    <row r="9" spans="1:7" ht="16.5" thickBot="1" x14ac:dyDescent="0.3">
      <c r="A9" s="31"/>
      <c r="B9" s="10"/>
      <c r="C9" s="131"/>
      <c r="D9" s="1"/>
      <c r="E9" s="31"/>
      <c r="F9" s="10"/>
      <c r="G9" s="131"/>
    </row>
    <row r="10" spans="1:7" ht="15.75" x14ac:dyDescent="0.25">
      <c r="A10" s="135" t="s">
        <v>104</v>
      </c>
      <c r="B10" s="46"/>
      <c r="C10" s="136"/>
      <c r="D10" s="1"/>
      <c r="E10" s="135" t="s">
        <v>104</v>
      </c>
      <c r="F10" s="46"/>
      <c r="G10" s="136"/>
    </row>
    <row r="11" spans="1:7" x14ac:dyDescent="0.25">
      <c r="A11" s="31" t="s">
        <v>102</v>
      </c>
      <c r="B11" s="10" t="s">
        <v>103</v>
      </c>
      <c r="C11" s="30" t="s">
        <v>25</v>
      </c>
      <c r="D11" s="1"/>
      <c r="E11" s="31" t="s">
        <v>102</v>
      </c>
      <c r="F11" s="10" t="s">
        <v>103</v>
      </c>
      <c r="G11" s="30" t="s">
        <v>25</v>
      </c>
    </row>
    <row r="12" spans="1:7" x14ac:dyDescent="0.25">
      <c r="A12" s="31">
        <v>1000</v>
      </c>
      <c r="B12" s="10">
        <v>3</v>
      </c>
      <c r="C12" s="30" t="s">
        <v>1</v>
      </c>
      <c r="D12" s="1"/>
      <c r="E12" s="31">
        <v>1000</v>
      </c>
      <c r="F12" s="10">
        <v>3</v>
      </c>
      <c r="G12" s="30" t="s">
        <v>1</v>
      </c>
    </row>
    <row r="13" spans="1:7" x14ac:dyDescent="0.25">
      <c r="A13" s="31">
        <v>2000</v>
      </c>
      <c r="B13" s="10">
        <v>3.5</v>
      </c>
      <c r="C13" s="30" t="s">
        <v>1</v>
      </c>
      <c r="D13" s="1"/>
      <c r="E13" s="31">
        <v>2000</v>
      </c>
      <c r="F13" s="10">
        <v>3.5</v>
      </c>
      <c r="G13" s="30" t="s">
        <v>1</v>
      </c>
    </row>
    <row r="14" spans="1:7" x14ac:dyDescent="0.25">
      <c r="A14" s="31">
        <v>5000</v>
      </c>
      <c r="B14" s="10">
        <v>5</v>
      </c>
      <c r="C14" s="30" t="s">
        <v>1</v>
      </c>
      <c r="D14" s="1"/>
      <c r="E14" s="31">
        <v>5000</v>
      </c>
      <c r="F14" s="10">
        <v>5</v>
      </c>
      <c r="G14" s="30" t="s">
        <v>1</v>
      </c>
    </row>
    <row r="15" spans="1:7" ht="15.75" thickBot="1" x14ac:dyDescent="0.3">
      <c r="A15" s="49">
        <v>10000</v>
      </c>
      <c r="B15" s="134">
        <v>6</v>
      </c>
      <c r="C15" s="51" t="s">
        <v>1</v>
      </c>
      <c r="D15" s="1"/>
      <c r="E15" s="49">
        <v>10000</v>
      </c>
      <c r="F15" s="134">
        <v>6</v>
      </c>
      <c r="G15" s="51" t="s">
        <v>1</v>
      </c>
    </row>
    <row r="16" spans="1:7" ht="16.5" thickBot="1" x14ac:dyDescent="0.3">
      <c r="A16" s="31"/>
      <c r="B16" s="10"/>
      <c r="C16" s="131"/>
      <c r="E16" s="31"/>
      <c r="F16" s="10"/>
      <c r="G16" s="131"/>
    </row>
    <row r="17" spans="1:7" ht="15.75" x14ac:dyDescent="0.25">
      <c r="A17" s="137" t="s">
        <v>105</v>
      </c>
      <c r="B17" s="138"/>
      <c r="C17" s="47"/>
      <c r="E17" s="137" t="s">
        <v>105</v>
      </c>
      <c r="F17" s="138"/>
      <c r="G17" s="47"/>
    </row>
    <row r="18" spans="1:7" x14ac:dyDescent="0.25">
      <c r="A18" s="31" t="s">
        <v>106</v>
      </c>
      <c r="B18" s="133">
        <v>30</v>
      </c>
      <c r="C18" s="30" t="s">
        <v>1</v>
      </c>
      <c r="E18" s="31" t="s">
        <v>106</v>
      </c>
      <c r="F18" s="133">
        <v>30</v>
      </c>
      <c r="G18" s="30" t="s">
        <v>1</v>
      </c>
    </row>
    <row r="19" spans="1:7" x14ac:dyDescent="0.25">
      <c r="A19" s="31" t="s">
        <v>107</v>
      </c>
      <c r="B19" s="54">
        <v>25</v>
      </c>
      <c r="C19" s="50" t="s">
        <v>20</v>
      </c>
      <c r="E19" s="31" t="s">
        <v>107</v>
      </c>
      <c r="F19" s="54">
        <v>25</v>
      </c>
      <c r="G19" s="50" t="s">
        <v>20</v>
      </c>
    </row>
    <row r="20" spans="1:7" x14ac:dyDescent="0.25">
      <c r="A20" s="31" t="s">
        <v>108</v>
      </c>
      <c r="B20" s="167">
        <v>3</v>
      </c>
      <c r="C20" s="30"/>
      <c r="E20" s="31" t="s">
        <v>108</v>
      </c>
      <c r="F20" s="167">
        <v>3</v>
      </c>
      <c r="G20" s="30"/>
    </row>
    <row r="21" spans="1:7" x14ac:dyDescent="0.25">
      <c r="A21" s="31" t="s">
        <v>109</v>
      </c>
      <c r="B21" s="130">
        <f>B8*B20</f>
        <v>5044.4100000000008</v>
      </c>
      <c r="C21" s="30" t="s">
        <v>16</v>
      </c>
      <c r="E21" s="31" t="s">
        <v>109</v>
      </c>
      <c r="F21" s="130">
        <f>F8*F20</f>
        <v>38.555999999999997</v>
      </c>
      <c r="G21" s="30" t="s">
        <v>16</v>
      </c>
    </row>
    <row r="22" spans="1:7" x14ac:dyDescent="0.25">
      <c r="A22" s="31" t="s">
        <v>110</v>
      </c>
      <c r="B22" s="79">
        <f>IF(B21&lt;A12,B12,IF(B21&lt;A13,B13,IF(B21&lt;A14,B14,B15)))</f>
        <v>6</v>
      </c>
      <c r="C22" s="30" t="s">
        <v>1</v>
      </c>
      <c r="E22" s="31" t="s">
        <v>110</v>
      </c>
      <c r="F22" s="79">
        <f>IF(F21&lt;E12,F12,IF(F21&lt;E13,F13,IF(F21&lt;E14,F14,F15)))</f>
        <v>3</v>
      </c>
      <c r="G22" s="30" t="s">
        <v>1</v>
      </c>
    </row>
    <row r="23" spans="1:7" ht="15.75" thickBot="1" x14ac:dyDescent="0.3">
      <c r="A23" s="49" t="s">
        <v>111</v>
      </c>
      <c r="B23" s="208">
        <f>(IF(B21&lt;1000,Input!B86,IF(B21&lt;1500,Input!B87,IF(B21&lt;2000,Input!B88,IF(B21&lt;3000,Input!B89,Input!B90)))))*B22*B18</f>
        <v>84373.2</v>
      </c>
      <c r="C23" s="51" t="s">
        <v>17</v>
      </c>
      <c r="E23" s="49" t="s">
        <v>111</v>
      </c>
      <c r="F23" s="208">
        <f>(IF(F21&lt;1000,Input!B86,IF(F21&lt;1500,Input!B87,IF(F21&lt;2000,Input!B88,IF(F21&lt;3000,Input!B89,Input!B90)))))*F22*F18</f>
        <v>20862.900000000001</v>
      </c>
      <c r="G23" s="51" t="s">
        <v>17</v>
      </c>
    </row>
    <row r="24" spans="1:7" ht="16.5" thickBot="1" x14ac:dyDescent="0.3">
      <c r="A24" s="31"/>
      <c r="B24" s="132"/>
      <c r="C24" s="30"/>
      <c r="E24" s="31"/>
      <c r="F24" s="132"/>
      <c r="G24" s="30"/>
    </row>
    <row r="25" spans="1:7" ht="15.75" x14ac:dyDescent="0.25">
      <c r="A25" s="137" t="s">
        <v>112</v>
      </c>
      <c r="B25" s="46"/>
      <c r="C25" s="47"/>
      <c r="E25" s="139" t="s">
        <v>112</v>
      </c>
      <c r="F25" s="46"/>
      <c r="G25" s="47"/>
    </row>
    <row r="26" spans="1:7" x14ac:dyDescent="0.25">
      <c r="A26" s="31" t="s">
        <v>113</v>
      </c>
      <c r="B26" s="133">
        <f>_xlfn.CEILING.MATH(Input!B17/B18)</f>
        <v>5</v>
      </c>
      <c r="C26" s="30"/>
      <c r="E26" s="31" t="s">
        <v>113</v>
      </c>
      <c r="F26" s="133">
        <f>_xlfn.CEILING.MATH(Input!B17/F18)</f>
        <v>5</v>
      </c>
      <c r="G26" s="30"/>
    </row>
    <row r="27" spans="1:7" x14ac:dyDescent="0.25">
      <c r="A27" s="31" t="s">
        <v>114</v>
      </c>
      <c r="B27" s="130">
        <f>B23*B26</f>
        <v>421866</v>
      </c>
      <c r="C27" s="30" t="s">
        <v>2</v>
      </c>
      <c r="E27" s="31" t="s">
        <v>114</v>
      </c>
      <c r="F27" s="130">
        <f>F23*F26</f>
        <v>104314.5</v>
      </c>
      <c r="G27" s="30" t="s">
        <v>2</v>
      </c>
    </row>
    <row r="28" spans="1:7" x14ac:dyDescent="0.25">
      <c r="A28" s="31" t="s">
        <v>219</v>
      </c>
      <c r="B28" s="207">
        <v>0.25</v>
      </c>
      <c r="C28" s="30" t="s">
        <v>0</v>
      </c>
      <c r="E28" s="31" t="s">
        <v>219</v>
      </c>
      <c r="F28" s="207">
        <v>0.25</v>
      </c>
      <c r="G28" s="30" t="s">
        <v>0</v>
      </c>
    </row>
    <row r="29" spans="1:7" s="3" customFormat="1" x14ac:dyDescent="0.25">
      <c r="A29" s="29" t="s">
        <v>115</v>
      </c>
      <c r="B29" s="220">
        <f>B27+(B27*B28)</f>
        <v>527332.5</v>
      </c>
      <c r="C29" s="48" t="s">
        <v>2</v>
      </c>
      <c r="E29" s="29" t="s">
        <v>115</v>
      </c>
      <c r="F29" s="220">
        <f>F27+(F27*F28)</f>
        <v>130393.125</v>
      </c>
      <c r="G29" s="48" t="s">
        <v>2</v>
      </c>
    </row>
    <row r="30" spans="1:7" ht="15.75" thickBot="1" x14ac:dyDescent="0.3">
      <c r="A30" s="49" t="s">
        <v>116</v>
      </c>
      <c r="B30" s="208">
        <f>B29/(B26*B18)</f>
        <v>3515.55</v>
      </c>
      <c r="C30" s="51" t="s">
        <v>19</v>
      </c>
      <c r="E30" s="49" t="s">
        <v>116</v>
      </c>
      <c r="F30" s="208">
        <f>F29/(F26*F18)</f>
        <v>869.28750000000002</v>
      </c>
      <c r="G30" s="51" t="s">
        <v>19</v>
      </c>
    </row>
    <row r="31" spans="1:7" ht="16.5" thickBot="1" x14ac:dyDescent="0.3">
      <c r="A31" s="29"/>
      <c r="B31" s="132"/>
      <c r="C31" s="30"/>
      <c r="E31" s="29"/>
      <c r="F31" s="132"/>
      <c r="G31" s="30"/>
    </row>
    <row r="32" spans="1:7" s="1" customFormat="1" ht="15.75" x14ac:dyDescent="0.25">
      <c r="A32" s="210" t="s">
        <v>118</v>
      </c>
      <c r="B32" s="211"/>
      <c r="C32" s="190"/>
      <c r="E32" s="210" t="s">
        <v>118</v>
      </c>
      <c r="F32" s="211"/>
      <c r="G32" s="212"/>
    </row>
    <row r="33" spans="1:7" s="1" customFormat="1" x14ac:dyDescent="0.25">
      <c r="A33" s="33" t="s">
        <v>117</v>
      </c>
      <c r="B33" s="79">
        <f>_xlfn.FLOOR.MATH(Input!$B$9/'ASFORESEE1 Defensive Facility'!B19)</f>
        <v>1</v>
      </c>
      <c r="C33" s="34" t="s">
        <v>13</v>
      </c>
      <c r="E33" s="33" t="s">
        <v>117</v>
      </c>
      <c r="F33" s="79">
        <f>_xlfn.FLOOR.MATH(Input!$B$9/'ASFORESEE1 Defensive Facility'!F19)</f>
        <v>1</v>
      </c>
      <c r="G33" s="192" t="s">
        <v>13</v>
      </c>
    </row>
    <row r="34" spans="1:7" s="224" customFormat="1" ht="15.75" thickBot="1" x14ac:dyDescent="0.3">
      <c r="A34" s="221" t="s">
        <v>220</v>
      </c>
      <c r="B34" s="222">
        <f>B29*0.2</f>
        <v>105466.5</v>
      </c>
      <c r="C34" s="223" t="s">
        <v>2</v>
      </c>
      <c r="E34" s="221" t="s">
        <v>220</v>
      </c>
      <c r="F34" s="222">
        <f>F29*0.2</f>
        <v>26078.625</v>
      </c>
      <c r="G34" s="223" t="s">
        <v>2</v>
      </c>
    </row>
    <row r="35" spans="1:7" x14ac:dyDescent="0.25">
      <c r="B35" s="3"/>
      <c r="F35" s="3"/>
    </row>
    <row r="36" spans="1:7" x14ac:dyDescent="0.25">
      <c r="B36" s="6"/>
      <c r="F36" s="6"/>
    </row>
    <row r="37" spans="1:7" x14ac:dyDescent="0.25">
      <c r="B37" s="6"/>
      <c r="F37" s="6"/>
    </row>
    <row r="38" spans="1:7" x14ac:dyDescent="0.25">
      <c r="B38" s="25"/>
      <c r="F38" s="25"/>
    </row>
    <row r="39" spans="1:7" x14ac:dyDescent="0.25">
      <c r="B39" s="6"/>
      <c r="F39" s="6"/>
    </row>
    <row r="40" spans="1:7" x14ac:dyDescent="0.25">
      <c r="B40" s="8"/>
      <c r="F40" s="8"/>
    </row>
    <row r="41" spans="1:7" x14ac:dyDescent="0.25">
      <c r="B41" s="8"/>
      <c r="F41" s="8"/>
    </row>
    <row r="42" spans="1:7" x14ac:dyDescent="0.25">
      <c r="B42" s="8"/>
      <c r="F42" s="8"/>
    </row>
    <row r="44" spans="1:7" ht="15.75" x14ac:dyDescent="0.25">
      <c r="A44" s="3"/>
      <c r="B44" s="9"/>
      <c r="E44" s="3"/>
      <c r="F44" s="9"/>
    </row>
    <row r="45" spans="1:7" ht="15.75" x14ac:dyDescent="0.25">
      <c r="B45" s="26"/>
      <c r="F45" s="26"/>
    </row>
    <row r="46" spans="1:7" x14ac:dyDescent="0.25">
      <c r="B46" s="6"/>
      <c r="F46" s="6"/>
    </row>
    <row r="47" spans="1:7" x14ac:dyDescent="0.25">
      <c r="B47" s="6"/>
      <c r="F47" s="6"/>
    </row>
    <row r="48" spans="1:7" x14ac:dyDescent="0.25">
      <c r="B48" s="3"/>
      <c r="F48" s="3"/>
    </row>
    <row r="49" spans="1:7" x14ac:dyDescent="0.25">
      <c r="B49" s="6"/>
      <c r="F49" s="6"/>
    </row>
    <row r="50" spans="1:7" x14ac:dyDescent="0.25">
      <c r="B50" s="3"/>
      <c r="F50" s="3"/>
    </row>
    <row r="51" spans="1:7" x14ac:dyDescent="0.25">
      <c r="B51" s="6"/>
      <c r="F51" s="6"/>
    </row>
    <row r="52" spans="1:7" x14ac:dyDescent="0.25">
      <c r="B52" s="6"/>
      <c r="F52" s="6"/>
    </row>
    <row r="53" spans="1:7" x14ac:dyDescent="0.25">
      <c r="B53" s="25"/>
      <c r="F53" s="25"/>
    </row>
    <row r="54" spans="1:7" x14ac:dyDescent="0.25">
      <c r="B54" s="6"/>
      <c r="F54" s="6"/>
    </row>
    <row r="55" spans="1:7" x14ac:dyDescent="0.25">
      <c r="B55" s="8"/>
      <c r="F55" s="8"/>
    </row>
    <row r="56" spans="1:7" x14ac:dyDescent="0.25">
      <c r="B56" s="8"/>
      <c r="F56" s="8"/>
    </row>
    <row r="57" spans="1:7" x14ac:dyDescent="0.25">
      <c r="B57" s="8"/>
      <c r="F57" s="8"/>
    </row>
    <row r="58" spans="1:7" x14ac:dyDescent="0.25">
      <c r="B58" s="6"/>
      <c r="F58" s="6"/>
    </row>
    <row r="60" spans="1:7" x14ac:dyDescent="0.25">
      <c r="A60" s="3"/>
      <c r="B60" s="11"/>
      <c r="C60" s="3"/>
      <c r="E60" s="3"/>
      <c r="F60" s="11"/>
      <c r="G60" s="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63"/>
  <sheetViews>
    <sheetView topLeftCell="A43" zoomScale="130" zoomScaleNormal="130" workbookViewId="0">
      <selection activeCell="F23" sqref="F23"/>
    </sheetView>
  </sheetViews>
  <sheetFormatPr defaultRowHeight="15" x14ac:dyDescent="0.25"/>
  <cols>
    <col min="1" max="1" width="34.42578125" style="14" bestFit="1" customWidth="1"/>
    <col min="2" max="2" width="13.42578125" style="14" bestFit="1" customWidth="1"/>
    <col min="3" max="3" width="25" style="14" bestFit="1" customWidth="1"/>
    <col min="4" max="5" width="9.140625" style="14"/>
    <col min="6" max="6" width="16.5703125" style="14" bestFit="1" customWidth="1"/>
    <col min="7" max="16384" width="9.140625" style="14"/>
  </cols>
  <sheetData>
    <row r="1" spans="1:6" ht="15.75" x14ac:dyDescent="0.25">
      <c r="A1" s="147" t="s">
        <v>165</v>
      </c>
    </row>
    <row r="2" spans="1:6" x14ac:dyDescent="0.25">
      <c r="A2" s="140"/>
    </row>
    <row r="3" spans="1:6" customFormat="1" ht="15.75" thickBot="1" x14ac:dyDescent="0.3">
      <c r="A3" t="s">
        <v>221</v>
      </c>
    </row>
    <row r="4" spans="1:6" s="147" customFormat="1" ht="16.5" thickBot="1" x14ac:dyDescent="0.3">
      <c r="A4" s="217" t="s">
        <v>187</v>
      </c>
      <c r="B4" s="218">
        <f>SUM(B25+B44+B63)</f>
        <v>12677.487515093811</v>
      </c>
      <c r="C4" s="219" t="s">
        <v>2</v>
      </c>
    </row>
    <row r="5" spans="1:6" x14ac:dyDescent="0.25">
      <c r="A5" s="140"/>
    </row>
    <row r="6" spans="1:6" customFormat="1" ht="15.75" thickBot="1" x14ac:dyDescent="0.3">
      <c r="A6" t="s">
        <v>222</v>
      </c>
    </row>
    <row r="7" spans="1:6" ht="15.75" x14ac:dyDescent="0.25">
      <c r="A7" s="151" t="s">
        <v>225</v>
      </c>
      <c r="B7" s="152"/>
      <c r="C7" s="153"/>
      <c r="E7" s="148" t="s">
        <v>180</v>
      </c>
      <c r="F7" s="149"/>
    </row>
    <row r="8" spans="1:6" x14ac:dyDescent="0.25">
      <c r="A8" s="235" t="s">
        <v>228</v>
      </c>
      <c r="B8" s="236">
        <v>1</v>
      </c>
      <c r="C8" s="237" t="s">
        <v>229</v>
      </c>
      <c r="E8" s="33">
        <v>1</v>
      </c>
      <c r="F8" s="34" t="s">
        <v>181</v>
      </c>
    </row>
    <row r="9" spans="1:6" x14ac:dyDescent="0.25">
      <c r="A9" s="154" t="s">
        <v>166</v>
      </c>
      <c r="B9" s="146" t="s">
        <v>24</v>
      </c>
      <c r="C9" s="155" t="s">
        <v>25</v>
      </c>
      <c r="E9" s="33">
        <v>365</v>
      </c>
      <c r="F9" s="34" t="s">
        <v>184</v>
      </c>
    </row>
    <row r="10" spans="1:6" x14ac:dyDescent="0.25">
      <c r="A10" s="156" t="s">
        <v>167</v>
      </c>
      <c r="B10" s="141">
        <f>1/(Input!$B$9*'ASFORESEE2 Risk'!$E$11*B8)</f>
        <v>6.3419583967529172E-8</v>
      </c>
      <c r="C10" s="34" t="s">
        <v>13</v>
      </c>
      <c r="E10" s="33">
        <v>8760</v>
      </c>
      <c r="F10" s="34" t="s">
        <v>185</v>
      </c>
    </row>
    <row r="11" spans="1:6" x14ac:dyDescent="0.25">
      <c r="A11" s="157" t="s">
        <v>168</v>
      </c>
      <c r="B11" s="142">
        <f>1-Input!$B$14</f>
        <v>0.51</v>
      </c>
      <c r="C11" s="34" t="s">
        <v>13</v>
      </c>
      <c r="E11" s="33">
        <v>525600</v>
      </c>
      <c r="F11" s="34" t="s">
        <v>186</v>
      </c>
    </row>
    <row r="12" spans="1:6" x14ac:dyDescent="0.25">
      <c r="A12" s="157" t="s">
        <v>230</v>
      </c>
      <c r="B12" s="61">
        <v>1</v>
      </c>
      <c r="C12" s="34"/>
      <c r="E12" s="33">
        <v>24</v>
      </c>
      <c r="F12" s="34" t="s">
        <v>182</v>
      </c>
    </row>
    <row r="13" spans="1:6" ht="15.75" thickBot="1" x14ac:dyDescent="0.3">
      <c r="A13" s="157" t="s">
        <v>169</v>
      </c>
      <c r="B13" s="225">
        <f>((Input!$B$99/($E$12*$E$13))*$E$11*Input!$B$9)/($E$11*Input!$B$9)</f>
        <v>0</v>
      </c>
      <c r="C13" s="34" t="s">
        <v>13</v>
      </c>
      <c r="E13" s="42">
        <v>60</v>
      </c>
      <c r="F13" s="150" t="s">
        <v>183</v>
      </c>
    </row>
    <row r="14" spans="1:6" x14ac:dyDescent="0.25">
      <c r="A14" s="157" t="s">
        <v>170</v>
      </c>
      <c r="B14" s="225">
        <f>((Input!$B$103/($E$12*$E$13))*$E$11*Input!$B$9)/($E$11*Input!$B$9)</f>
        <v>6.9444444444444444E-5</v>
      </c>
      <c r="C14" s="34"/>
    </row>
    <row r="15" spans="1:6" x14ac:dyDescent="0.25">
      <c r="A15" s="157"/>
      <c r="B15" s="143"/>
      <c r="C15" s="34"/>
    </row>
    <row r="16" spans="1:6" x14ac:dyDescent="0.25">
      <c r="A16" s="158" t="s">
        <v>171</v>
      </c>
      <c r="B16" s="143"/>
      <c r="C16" s="34"/>
    </row>
    <row r="17" spans="1:3" x14ac:dyDescent="0.25">
      <c r="A17" s="159" t="s">
        <v>173</v>
      </c>
      <c r="B17" s="144">
        <f>Input!$B$95*Input!$B$96*Input!$B$17*B12</f>
        <v>607.95000000000005</v>
      </c>
      <c r="C17" s="34" t="s">
        <v>2</v>
      </c>
    </row>
    <row r="18" spans="1:3" x14ac:dyDescent="0.25">
      <c r="A18" s="159" t="s">
        <v>174</v>
      </c>
      <c r="B18" s="144">
        <f>Input!$B$98*Input!$B$100*$B$13</f>
        <v>0</v>
      </c>
      <c r="C18" s="34" t="s">
        <v>2</v>
      </c>
    </row>
    <row r="19" spans="1:3" x14ac:dyDescent="0.25">
      <c r="A19" s="159" t="s">
        <v>172</v>
      </c>
      <c r="B19" s="144">
        <f>($B$14*Input!$B$102*Input!$B$104)</f>
        <v>153.71527777777777</v>
      </c>
      <c r="C19" s="34" t="s">
        <v>2</v>
      </c>
    </row>
    <row r="20" spans="1:3" x14ac:dyDescent="0.25">
      <c r="A20" s="159" t="s">
        <v>175</v>
      </c>
      <c r="B20" s="144">
        <f>$B$17*(1/(((1+Input!$B$10)^Input!$B$9)-1))</f>
        <v>749.29601291371682</v>
      </c>
      <c r="C20" s="34" t="s">
        <v>2</v>
      </c>
    </row>
    <row r="21" spans="1:3" x14ac:dyDescent="0.25">
      <c r="A21" s="159" t="s">
        <v>176</v>
      </c>
      <c r="B21" s="144">
        <f>$B$18*(1/(((1+Input!$B$10)^Input!$B$9)-1))</f>
        <v>0</v>
      </c>
      <c r="C21" s="34" t="s">
        <v>2</v>
      </c>
    </row>
    <row r="22" spans="1:3" x14ac:dyDescent="0.25">
      <c r="A22" s="159" t="s">
        <v>177</v>
      </c>
      <c r="B22" s="144">
        <f>$B$19*(1/(((1+Input!$B$10)^Input!$B$9)-1))</f>
        <v>189.45348262655372</v>
      </c>
      <c r="C22" s="34" t="s">
        <v>2</v>
      </c>
    </row>
    <row r="23" spans="1:3" x14ac:dyDescent="0.25">
      <c r="A23" s="159" t="s">
        <v>178</v>
      </c>
      <c r="B23" s="144">
        <f>$B$20+$B$22+$B$21</f>
        <v>938.74949554027057</v>
      </c>
      <c r="C23" s="34" t="s">
        <v>2</v>
      </c>
    </row>
    <row r="24" spans="1:3" x14ac:dyDescent="0.25">
      <c r="A24" s="159" t="s">
        <v>179</v>
      </c>
      <c r="B24" s="145">
        <f>$B$23*$B$11*$B$10</f>
        <v>3.0362902253014839E-5</v>
      </c>
      <c r="C24" s="34" t="s">
        <v>2</v>
      </c>
    </row>
    <row r="25" spans="1:3" ht="16.5" thickBot="1" x14ac:dyDescent="0.3">
      <c r="A25" s="160" t="s">
        <v>188</v>
      </c>
      <c r="B25" s="161">
        <f>$B$23-$B$24</f>
        <v>938.74946517736828</v>
      </c>
      <c r="C25" s="162" t="s">
        <v>2</v>
      </c>
    </row>
    <row r="26" spans="1:3" ht="15.75" thickBot="1" x14ac:dyDescent="0.3"/>
    <row r="27" spans="1:3" ht="15.75" x14ac:dyDescent="0.25">
      <c r="A27" s="151" t="s">
        <v>227</v>
      </c>
      <c r="B27" s="152"/>
      <c r="C27" s="153"/>
    </row>
    <row r="28" spans="1:3" x14ac:dyDescent="0.25">
      <c r="A28" s="235" t="s">
        <v>228</v>
      </c>
      <c r="B28" s="236">
        <v>1</v>
      </c>
      <c r="C28" s="237" t="s">
        <v>229</v>
      </c>
    </row>
    <row r="29" spans="1:3" x14ac:dyDescent="0.25">
      <c r="A29" s="154" t="s">
        <v>166</v>
      </c>
      <c r="B29" s="146" t="s">
        <v>24</v>
      </c>
      <c r="C29" s="155" t="s">
        <v>25</v>
      </c>
    </row>
    <row r="30" spans="1:3" x14ac:dyDescent="0.25">
      <c r="A30" s="157" t="s">
        <v>168</v>
      </c>
      <c r="B30" s="142">
        <f>1-Input!$B$15</f>
        <v>0.10199999999999998</v>
      </c>
      <c r="C30" s="34" t="s">
        <v>13</v>
      </c>
    </row>
    <row r="31" spans="1:3" x14ac:dyDescent="0.25">
      <c r="A31" s="157" t="s">
        <v>230</v>
      </c>
      <c r="B31" s="61">
        <v>1</v>
      </c>
      <c r="C31" s="34"/>
    </row>
    <row r="32" spans="1:3" x14ac:dyDescent="0.25">
      <c r="A32" s="157" t="s">
        <v>169</v>
      </c>
      <c r="B32" s="225">
        <f>((Input!$B$110/($E$12*$E$13))*$E$11*Input!$B$9)/($E$11*Input!$B$9)</f>
        <v>6.9444444444444447E-4</v>
      </c>
      <c r="C32" s="34" t="s">
        <v>13</v>
      </c>
    </row>
    <row r="33" spans="1:3" x14ac:dyDescent="0.25">
      <c r="A33" s="157" t="s">
        <v>170</v>
      </c>
      <c r="B33" s="225">
        <f>((Input!$B$114/($E$12*$E$13))*$E$11*Input!$B$9)/($E$11*Input!$B$9)</f>
        <v>6.9444444444444447E-4</v>
      </c>
      <c r="C33" s="34" t="s">
        <v>13</v>
      </c>
    </row>
    <row r="34" spans="1:3" x14ac:dyDescent="0.25">
      <c r="A34" s="157"/>
      <c r="B34" s="142"/>
      <c r="C34" s="34"/>
    </row>
    <row r="35" spans="1:3" x14ac:dyDescent="0.25">
      <c r="A35" s="158" t="s">
        <v>171</v>
      </c>
      <c r="B35" s="142"/>
      <c r="C35" s="34"/>
    </row>
    <row r="36" spans="1:3" x14ac:dyDescent="0.25">
      <c r="A36" s="159" t="s">
        <v>173</v>
      </c>
      <c r="B36" s="144">
        <f>Input!$B$107*Input!$B$106*Input!$B$18*B31</f>
        <v>231.99999999999997</v>
      </c>
      <c r="C36" s="34" t="s">
        <v>2</v>
      </c>
    </row>
    <row r="37" spans="1:3" x14ac:dyDescent="0.25">
      <c r="A37" s="159" t="s">
        <v>174</v>
      </c>
      <c r="B37" s="144">
        <f>Input!$B$109*Input!$B$111*$B$32</f>
        <v>17.361111111111111</v>
      </c>
      <c r="C37" s="34" t="s">
        <v>2</v>
      </c>
    </row>
    <row r="38" spans="1:3" x14ac:dyDescent="0.25">
      <c r="A38" s="159" t="s">
        <v>172</v>
      </c>
      <c r="B38" s="144">
        <f>($B$33*Input!$B$113*Input!$B$115)</f>
        <v>1537.1527777777778</v>
      </c>
      <c r="C38" s="34" t="s">
        <v>2</v>
      </c>
    </row>
    <row r="39" spans="1:3" x14ac:dyDescent="0.25">
      <c r="A39" s="159" t="s">
        <v>175</v>
      </c>
      <c r="B39" s="144">
        <f>$B$36*(1/(((1+Input!$B$10)^Input!$B$9)-1))</f>
        <v>285.93909860347441</v>
      </c>
      <c r="C39" s="34" t="s">
        <v>2</v>
      </c>
    </row>
    <row r="40" spans="1:3" x14ac:dyDescent="0.25">
      <c r="A40" s="159" t="s">
        <v>176</v>
      </c>
      <c r="B40" s="144">
        <f>$B$37*(1/(((1+Input!$B$10)^Input!$B$9)-1))</f>
        <v>21.397501990801189</v>
      </c>
      <c r="C40" s="34" t="s">
        <v>2</v>
      </c>
    </row>
    <row r="41" spans="1:3" x14ac:dyDescent="0.25">
      <c r="A41" s="159" t="s">
        <v>177</v>
      </c>
      <c r="B41" s="144">
        <f>$B$38*(1/(((1+Input!$B$10)^Input!$B$9)-1))</f>
        <v>1894.5348262655375</v>
      </c>
      <c r="C41" s="34" t="s">
        <v>2</v>
      </c>
    </row>
    <row r="42" spans="1:3" x14ac:dyDescent="0.25">
      <c r="A42" s="159" t="s">
        <v>178</v>
      </c>
      <c r="B42" s="144">
        <f>$B$39+$B$41+$B$40</f>
        <v>2201.8714268598133</v>
      </c>
      <c r="C42" s="34" t="s">
        <v>2</v>
      </c>
    </row>
    <row r="43" spans="1:3" x14ac:dyDescent="0.25">
      <c r="A43" s="159" t="s">
        <v>179</v>
      </c>
      <c r="B43" s="145">
        <f>$B$42*$B$30*$B$10</f>
        <v>1.4243460523826795E-5</v>
      </c>
      <c r="C43" s="34" t="s">
        <v>2</v>
      </c>
    </row>
    <row r="44" spans="1:3" ht="16.5" thickBot="1" x14ac:dyDescent="0.3">
      <c r="A44" s="160" t="s">
        <v>188</v>
      </c>
      <c r="B44" s="161">
        <f>$B$42-$B$43</f>
        <v>2201.8714126163527</v>
      </c>
      <c r="C44" s="150" t="s">
        <v>2</v>
      </c>
    </row>
    <row r="45" spans="1:3" ht="15.75" thickBot="1" x14ac:dyDescent="0.3"/>
    <row r="46" spans="1:3" ht="15.75" x14ac:dyDescent="0.25">
      <c r="A46" s="151" t="s">
        <v>226</v>
      </c>
      <c r="B46" s="152"/>
      <c r="C46" s="153"/>
    </row>
    <row r="47" spans="1:3" x14ac:dyDescent="0.25">
      <c r="A47" s="235" t="s">
        <v>228</v>
      </c>
      <c r="B47" s="236">
        <v>1</v>
      </c>
      <c r="C47" s="237" t="s">
        <v>229</v>
      </c>
    </row>
    <row r="48" spans="1:3" x14ac:dyDescent="0.25">
      <c r="A48" s="154" t="s">
        <v>166</v>
      </c>
      <c r="B48" s="146" t="s">
        <v>24</v>
      </c>
      <c r="C48" s="155" t="s">
        <v>25</v>
      </c>
    </row>
    <row r="49" spans="1:3" x14ac:dyDescent="0.25">
      <c r="A49" s="157" t="s">
        <v>168</v>
      </c>
      <c r="B49" s="142">
        <f>1-Input!$B$16</f>
        <v>0</v>
      </c>
      <c r="C49" s="34" t="s">
        <v>13</v>
      </c>
    </row>
    <row r="50" spans="1:3" x14ac:dyDescent="0.25">
      <c r="A50" s="157" t="s">
        <v>230</v>
      </c>
      <c r="B50" s="61">
        <v>1</v>
      </c>
      <c r="C50" s="34"/>
    </row>
    <row r="51" spans="1:3" x14ac:dyDescent="0.25">
      <c r="A51" s="157" t="s">
        <v>169</v>
      </c>
      <c r="B51" s="225">
        <f>((Input!$B$121/($E$12*$E$13))*$E$11*Input!$B$9)/($E$11*Input!$B$9)</f>
        <v>2.0833333333333333E-3</v>
      </c>
      <c r="C51" s="34" t="s">
        <v>13</v>
      </c>
    </row>
    <row r="52" spans="1:3" x14ac:dyDescent="0.25">
      <c r="A52" s="157" t="s">
        <v>170</v>
      </c>
      <c r="B52" s="225">
        <f>((Input!$B$125/($E$12*$E$13))*$E$11*Input!$B$9)/($E$11*Input!$B$9)</f>
        <v>3.472222222222222E-3</v>
      </c>
      <c r="C52" s="34" t="s">
        <v>13</v>
      </c>
    </row>
    <row r="53" spans="1:3" x14ac:dyDescent="0.25">
      <c r="A53" s="157"/>
      <c r="B53" s="142"/>
      <c r="C53" s="34"/>
    </row>
    <row r="54" spans="1:3" x14ac:dyDescent="0.25">
      <c r="A54" s="158" t="s">
        <v>171</v>
      </c>
      <c r="B54" s="142"/>
      <c r="C54" s="34"/>
    </row>
    <row r="55" spans="1:3" x14ac:dyDescent="0.25">
      <c r="A55" s="159" t="s">
        <v>173</v>
      </c>
      <c r="B55" s="144">
        <f>Input!$B$117*Input!$B$1236*Input!$B$19*B50</f>
        <v>0</v>
      </c>
      <c r="C55" s="34" t="s">
        <v>2</v>
      </c>
    </row>
    <row r="56" spans="1:3" x14ac:dyDescent="0.25">
      <c r="A56" s="159" t="s">
        <v>174</v>
      </c>
      <c r="B56" s="144">
        <f>Input!$B$120*Input!$B$122*$B$51</f>
        <v>52.083333333333336</v>
      </c>
      <c r="C56" s="34" t="s">
        <v>2</v>
      </c>
    </row>
    <row r="57" spans="1:3" x14ac:dyDescent="0.25">
      <c r="A57" s="159" t="s">
        <v>172</v>
      </c>
      <c r="B57" s="144">
        <f>($B$52*Input!$B$124*Input!$B$126)</f>
        <v>7685.7638888888887</v>
      </c>
      <c r="C57" s="34" t="s">
        <v>2</v>
      </c>
    </row>
    <row r="58" spans="1:3" x14ac:dyDescent="0.25">
      <c r="A58" s="159" t="s">
        <v>175</v>
      </c>
      <c r="B58" s="144">
        <f>$B$55*(1/(((1+Input!$B$10)^Input!$B$9)-1))</f>
        <v>0</v>
      </c>
      <c r="C58" s="34" t="s">
        <v>2</v>
      </c>
    </row>
    <row r="59" spans="1:3" x14ac:dyDescent="0.25">
      <c r="A59" s="159" t="s">
        <v>176</v>
      </c>
      <c r="B59" s="144">
        <f>$B$56*(1/(((1+Input!$B$10)^Input!$B$9)-1))</f>
        <v>64.192505972403566</v>
      </c>
      <c r="C59" s="34" t="s">
        <v>2</v>
      </c>
    </row>
    <row r="60" spans="1:3" x14ac:dyDescent="0.25">
      <c r="A60" s="159" t="s">
        <v>177</v>
      </c>
      <c r="B60" s="144">
        <f>$B$57*(1/(((1+Input!$B$10)^Input!$B$9)-1))</f>
        <v>9472.6741313276871</v>
      </c>
      <c r="C60" s="34" t="s">
        <v>2</v>
      </c>
    </row>
    <row r="61" spans="1:3" x14ac:dyDescent="0.25">
      <c r="A61" s="159" t="s">
        <v>178</v>
      </c>
      <c r="B61" s="144">
        <f>$B$58+$B$60+$B$59</f>
        <v>9536.8666373000906</v>
      </c>
      <c r="C61" s="34" t="s">
        <v>2</v>
      </c>
    </row>
    <row r="62" spans="1:3" x14ac:dyDescent="0.25">
      <c r="A62" s="159" t="s">
        <v>179</v>
      </c>
      <c r="B62" s="145">
        <f>$B$61*$B$49*$B$10</f>
        <v>0</v>
      </c>
      <c r="C62" s="34" t="s">
        <v>2</v>
      </c>
    </row>
    <row r="63" spans="1:3" ht="16.5" thickBot="1" x14ac:dyDescent="0.3">
      <c r="A63" s="160" t="s">
        <v>188</v>
      </c>
      <c r="B63" s="161">
        <f>$B$61-$B$62</f>
        <v>9536.8666373000906</v>
      </c>
      <c r="C63" s="150" t="s">
        <v>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P207"/>
  <sheetViews>
    <sheetView topLeftCell="A187" zoomScale="130" zoomScaleNormal="130" workbookViewId="0">
      <selection activeCell="G1" sqref="G1"/>
    </sheetView>
  </sheetViews>
  <sheetFormatPr defaultRowHeight="15" x14ac:dyDescent="0.25"/>
  <cols>
    <col min="1" max="1" width="36.5703125" style="54" customWidth="1"/>
    <col min="2" max="2" width="28.85546875" style="54" bestFit="1" customWidth="1"/>
    <col min="3" max="3" width="29.140625" style="54" bestFit="1" customWidth="1"/>
    <col min="4" max="4" width="15.42578125" style="54" bestFit="1" customWidth="1"/>
    <col min="5" max="5" width="9.5703125" style="54" bestFit="1" customWidth="1"/>
    <col min="6" max="6" width="38.5703125" style="54" customWidth="1"/>
    <col min="7" max="7" width="28.85546875" style="54" bestFit="1" customWidth="1"/>
    <col min="8" max="8" width="29.140625" style="54" bestFit="1" customWidth="1"/>
    <col min="9" max="9" width="15.42578125" style="54" bestFit="1" customWidth="1"/>
    <col min="10" max="10" width="12.85546875" style="59" bestFit="1" customWidth="1"/>
    <col min="11" max="11" width="46.5703125" style="123" bestFit="1" customWidth="1"/>
    <col min="12" max="12" width="12.28515625" style="59" customWidth="1"/>
    <col min="13" max="13" width="10.7109375" style="54" customWidth="1"/>
    <col min="14" max="14" width="20.7109375" style="66" customWidth="1"/>
    <col min="15" max="15" width="23.42578125" style="59" customWidth="1"/>
    <col min="16" max="16" width="11.85546875" style="54" customWidth="1"/>
    <col min="17" max="17" width="10.5703125" style="54" customWidth="1"/>
    <col min="18" max="16384" width="9.140625" style="54"/>
  </cols>
  <sheetData>
    <row r="1" spans="1:16" ht="18.75" x14ac:dyDescent="0.3">
      <c r="A1" s="76" t="s">
        <v>160</v>
      </c>
      <c r="F1" s="76"/>
    </row>
    <row r="2" spans="1:16" x14ac:dyDescent="0.25">
      <c r="A2" s="123"/>
      <c r="B2" s="59"/>
    </row>
    <row r="3" spans="1:16" customFormat="1" ht="15.75" thickBot="1" x14ac:dyDescent="0.3">
      <c r="A3" t="s">
        <v>221</v>
      </c>
    </row>
    <row r="4" spans="1:16" x14ac:dyDescent="0.25">
      <c r="A4" s="226" t="s">
        <v>160</v>
      </c>
      <c r="B4" s="227"/>
      <c r="C4" s="228"/>
      <c r="J4" s="54"/>
      <c r="P4" s="59"/>
    </row>
    <row r="5" spans="1:16" x14ac:dyDescent="0.25">
      <c r="A5" s="229" t="s">
        <v>234</v>
      </c>
      <c r="B5" s="230">
        <f>IF($B$99="YES",($B$90/((1+Input!$B$10)^Input!$B$34))+($B$178/((1+Input!$B$10)^(Input!$B$34+Input!$B$35))),($B$90/((1+Input!$B$10)^Input!$B$34)))</f>
        <v>-2631.7767011288652</v>
      </c>
      <c r="C5" s="231" t="s">
        <v>2</v>
      </c>
      <c r="J5" s="54"/>
      <c r="P5" s="59"/>
    </row>
    <row r="6" spans="1:16" x14ac:dyDescent="0.25">
      <c r="A6" s="229" t="s">
        <v>235</v>
      </c>
      <c r="B6" s="230">
        <f>IF($G$99="YES",($G$90/((1+Input!$B$10)^Input!$B$34))+($G$178/((1+Input!$B$10)^(Input!$B$34+Input!$B$35))),($G$90/((1+Input!$B$10)^Input!$B$34)))</f>
        <v>-2128.6780887570626</v>
      </c>
      <c r="C6" s="231" t="s">
        <v>2</v>
      </c>
      <c r="J6" s="54"/>
    </row>
    <row r="7" spans="1:16" ht="16.5" thickBot="1" x14ac:dyDescent="0.3">
      <c r="A7" s="232" t="s">
        <v>236</v>
      </c>
      <c r="B7" s="233">
        <f>B5+B6</f>
        <v>-4760.4547898859273</v>
      </c>
      <c r="C7" s="234" t="s">
        <v>2</v>
      </c>
      <c r="J7" s="54"/>
      <c r="P7" s="59"/>
    </row>
    <row r="9" spans="1:16" customFormat="1" ht="15.75" thickBot="1" x14ac:dyDescent="0.3">
      <c r="A9" t="s">
        <v>222</v>
      </c>
    </row>
    <row r="10" spans="1:16" x14ac:dyDescent="0.25">
      <c r="A10" s="81" t="s">
        <v>161</v>
      </c>
      <c r="B10" s="82"/>
      <c r="C10" s="82"/>
      <c r="D10" s="83"/>
      <c r="F10" s="81" t="s">
        <v>161</v>
      </c>
      <c r="G10" s="82"/>
      <c r="H10" s="82"/>
      <c r="I10" s="83"/>
    </row>
    <row r="11" spans="1:16" x14ac:dyDescent="0.25">
      <c r="A11" s="64" t="s">
        <v>120</v>
      </c>
      <c r="B11" s="54" t="str">
        <f>Input!B32</f>
        <v>A</v>
      </c>
      <c r="C11" s="55"/>
      <c r="D11" s="84"/>
      <c r="F11" s="64" t="s">
        <v>120</v>
      </c>
      <c r="G11" s="54" t="str">
        <f>Input!B38</f>
        <v>B (optional)</v>
      </c>
      <c r="H11" s="55"/>
      <c r="I11" s="84"/>
    </row>
    <row r="12" spans="1:16" x14ac:dyDescent="0.25">
      <c r="A12" s="85" t="s">
        <v>121</v>
      </c>
      <c r="B12" s="54">
        <v>1</v>
      </c>
      <c r="C12" s="55"/>
      <c r="D12" s="84"/>
      <c r="F12" s="85" t="s">
        <v>121</v>
      </c>
      <c r="G12" s="54">
        <v>1</v>
      </c>
      <c r="H12" s="55"/>
      <c r="I12" s="84"/>
    </row>
    <row r="13" spans="1:16" x14ac:dyDescent="0.25">
      <c r="A13" s="64" t="s">
        <v>122</v>
      </c>
      <c r="B13" s="24">
        <f>Input!$B$29*Input!$B$36</f>
        <v>1465</v>
      </c>
      <c r="C13" s="55" t="s">
        <v>15</v>
      </c>
      <c r="D13" s="84"/>
      <c r="F13" s="64" t="s">
        <v>122</v>
      </c>
      <c r="G13" s="24">
        <f>(Input!$B$29*Input!$B$42)+(Input!B30*Input!B40)</f>
        <v>685.06000000000006</v>
      </c>
      <c r="H13" s="55" t="s">
        <v>15</v>
      </c>
      <c r="I13" s="84"/>
    </row>
    <row r="14" spans="1:16" x14ac:dyDescent="0.25">
      <c r="A14" s="64" t="s">
        <v>123</v>
      </c>
      <c r="B14" s="77">
        <f>B13*Input!$B$37</f>
        <v>293</v>
      </c>
      <c r="C14" s="55" t="s">
        <v>15</v>
      </c>
      <c r="D14" s="84"/>
      <c r="F14" s="64" t="s">
        <v>123</v>
      </c>
      <c r="G14" s="77">
        <f>G13*Input!$B$43</f>
        <v>137.01200000000003</v>
      </c>
      <c r="H14" s="55" t="s">
        <v>15</v>
      </c>
      <c r="I14" s="84"/>
    </row>
    <row r="15" spans="1:16" x14ac:dyDescent="0.25">
      <c r="A15" s="64" t="s">
        <v>124</v>
      </c>
      <c r="B15" s="78">
        <f>B13-B14</f>
        <v>1172</v>
      </c>
      <c r="C15" s="55" t="s">
        <v>15</v>
      </c>
      <c r="D15" s="84"/>
      <c r="F15" s="64" t="s">
        <v>124</v>
      </c>
      <c r="G15" s="78">
        <f>G13-G14</f>
        <v>548.048</v>
      </c>
      <c r="H15" s="55" t="s">
        <v>15</v>
      </c>
      <c r="I15" s="84"/>
    </row>
    <row r="16" spans="1:16" ht="15.75" thickBot="1" x14ac:dyDescent="0.3">
      <c r="A16" s="56" t="s">
        <v>125</v>
      </c>
      <c r="B16" s="93">
        <f>(1-Input!$B$61)*B14</f>
        <v>263.7</v>
      </c>
      <c r="C16" s="94" t="s">
        <v>12</v>
      </c>
      <c r="D16" s="92"/>
      <c r="F16" s="56" t="s">
        <v>125</v>
      </c>
      <c r="G16" s="93">
        <f>(1-Input!$B$61)*G14</f>
        <v>123.31080000000003</v>
      </c>
      <c r="H16" s="94" t="s">
        <v>12</v>
      </c>
      <c r="I16" s="92"/>
    </row>
    <row r="17" spans="1:12" ht="15.75" thickBot="1" x14ac:dyDescent="0.3">
      <c r="A17" s="64"/>
      <c r="C17" s="59"/>
      <c r="D17" s="84"/>
      <c r="F17" s="64"/>
      <c r="H17" s="59"/>
      <c r="I17" s="84"/>
    </row>
    <row r="18" spans="1:12" x14ac:dyDescent="0.25">
      <c r="A18" s="81" t="s">
        <v>59</v>
      </c>
      <c r="B18" s="95" t="s">
        <v>126</v>
      </c>
      <c r="C18" s="95" t="s">
        <v>127</v>
      </c>
      <c r="D18" s="96" t="s">
        <v>128</v>
      </c>
      <c r="F18" s="81" t="s">
        <v>59</v>
      </c>
      <c r="G18" s="95" t="s">
        <v>126</v>
      </c>
      <c r="H18" s="95" t="s">
        <v>127</v>
      </c>
      <c r="I18" s="96" t="s">
        <v>164</v>
      </c>
    </row>
    <row r="19" spans="1:12" x14ac:dyDescent="0.25">
      <c r="A19" s="64" t="s">
        <v>84</v>
      </c>
      <c r="B19" s="53">
        <v>1.1499999999999999</v>
      </c>
      <c r="C19" s="53">
        <v>3.125</v>
      </c>
      <c r="D19" s="87">
        <f>C19-B19</f>
        <v>1.9750000000000001</v>
      </c>
      <c r="F19" s="64" t="s">
        <v>84</v>
      </c>
      <c r="G19" s="53">
        <v>1.1499999999999999</v>
      </c>
      <c r="H19" s="53">
        <v>3.125</v>
      </c>
      <c r="I19" s="87">
        <f>H19-G19</f>
        <v>1.9750000000000001</v>
      </c>
    </row>
    <row r="20" spans="1:12" x14ac:dyDescent="0.25">
      <c r="A20" s="64" t="s">
        <v>85</v>
      </c>
      <c r="B20" s="53">
        <v>0.92</v>
      </c>
      <c r="C20" s="53">
        <v>6.55</v>
      </c>
      <c r="D20" s="87">
        <f>C20-B20</f>
        <v>5.63</v>
      </c>
      <c r="F20" s="64" t="s">
        <v>85</v>
      </c>
      <c r="G20" s="53">
        <v>0.92</v>
      </c>
      <c r="H20" s="53">
        <v>6.55</v>
      </c>
      <c r="I20" s="87">
        <f>H20-G20</f>
        <v>5.63</v>
      </c>
    </row>
    <row r="21" spans="1:12" x14ac:dyDescent="0.25">
      <c r="A21" s="64" t="s">
        <v>86</v>
      </c>
      <c r="B21" s="53">
        <v>6</v>
      </c>
      <c r="C21" s="53">
        <v>16.329999999999998</v>
      </c>
      <c r="D21" s="87">
        <f>C21-B21</f>
        <v>10.329999999999998</v>
      </c>
      <c r="F21" s="64" t="s">
        <v>86</v>
      </c>
      <c r="G21" s="53">
        <v>6</v>
      </c>
      <c r="H21" s="53">
        <v>16.329999999999998</v>
      </c>
      <c r="I21" s="87">
        <f>H21-G21</f>
        <v>10.329999999999998</v>
      </c>
      <c r="L21" s="54"/>
    </row>
    <row r="22" spans="1:12" x14ac:dyDescent="0.25">
      <c r="A22" s="64" t="s">
        <v>87</v>
      </c>
      <c r="B22" s="53">
        <v>3.2</v>
      </c>
      <c r="C22" s="53">
        <v>7.9</v>
      </c>
      <c r="D22" s="87">
        <f>C22-B22</f>
        <v>4.7</v>
      </c>
      <c r="F22" s="64" t="s">
        <v>87</v>
      </c>
      <c r="G22" s="53">
        <v>3.2</v>
      </c>
      <c r="H22" s="53">
        <v>7.9</v>
      </c>
      <c r="I22" s="87">
        <f>H22-G22</f>
        <v>4.7</v>
      </c>
      <c r="L22" s="54"/>
    </row>
    <row r="23" spans="1:12" x14ac:dyDescent="0.25">
      <c r="A23" s="64" t="s">
        <v>88</v>
      </c>
      <c r="B23" s="53">
        <v>2.35</v>
      </c>
      <c r="C23" s="53">
        <v>6.35</v>
      </c>
      <c r="D23" s="87">
        <f>C23-B23</f>
        <v>3.9999999999999996</v>
      </c>
      <c r="F23" s="64" t="s">
        <v>88</v>
      </c>
      <c r="G23" s="53">
        <v>2.35</v>
      </c>
      <c r="H23" s="53">
        <v>6.35</v>
      </c>
      <c r="I23" s="87">
        <f>H23-G23</f>
        <v>3.9999999999999996</v>
      </c>
      <c r="J23" s="54"/>
      <c r="K23" s="125"/>
      <c r="L23" s="63"/>
    </row>
    <row r="24" spans="1:12" ht="15" customHeight="1" x14ac:dyDescent="0.25">
      <c r="A24" s="64" t="s">
        <v>94</v>
      </c>
      <c r="B24" s="53" t="s">
        <v>129</v>
      </c>
      <c r="C24" s="53" t="s">
        <v>129</v>
      </c>
      <c r="D24" s="87" t="s">
        <v>129</v>
      </c>
      <c r="F24" s="64" t="s">
        <v>94</v>
      </c>
      <c r="G24" s="53" t="s">
        <v>129</v>
      </c>
      <c r="H24" s="53" t="s">
        <v>129</v>
      </c>
      <c r="I24" s="87" t="s">
        <v>129</v>
      </c>
      <c r="J24" s="54"/>
      <c r="K24" s="125"/>
      <c r="L24" s="63"/>
    </row>
    <row r="25" spans="1:12" ht="15.75" thickBot="1" x14ac:dyDescent="0.3">
      <c r="A25" s="56" t="s">
        <v>89</v>
      </c>
      <c r="B25" s="97" t="s">
        <v>129</v>
      </c>
      <c r="C25" s="97" t="s">
        <v>129</v>
      </c>
      <c r="D25" s="98" t="s">
        <v>129</v>
      </c>
      <c r="F25" s="56" t="s">
        <v>89</v>
      </c>
      <c r="G25" s="97" t="s">
        <v>129</v>
      </c>
      <c r="H25" s="97" t="s">
        <v>129</v>
      </c>
      <c r="I25" s="98" t="s">
        <v>129</v>
      </c>
      <c r="J25" s="53"/>
      <c r="K25" s="125"/>
      <c r="L25" s="63"/>
    </row>
    <row r="26" spans="1:12" ht="15.75" thickBot="1" x14ac:dyDescent="0.3">
      <c r="A26" s="64"/>
      <c r="B26" s="53"/>
      <c r="C26" s="53"/>
      <c r="D26" s="87"/>
      <c r="F26" s="64"/>
      <c r="G26" s="53"/>
      <c r="H26" s="53"/>
      <c r="I26" s="87"/>
      <c r="J26" s="53"/>
      <c r="K26" s="125"/>
      <c r="L26" s="63"/>
    </row>
    <row r="27" spans="1:12" x14ac:dyDescent="0.25">
      <c r="A27" s="81" t="s">
        <v>130</v>
      </c>
      <c r="B27" s="99"/>
      <c r="C27" s="99"/>
      <c r="D27" s="100"/>
      <c r="F27" s="81" t="s">
        <v>130</v>
      </c>
      <c r="G27" s="99"/>
      <c r="H27" s="99"/>
      <c r="I27" s="100"/>
      <c r="J27" s="53"/>
      <c r="K27" s="125"/>
      <c r="L27" s="63"/>
    </row>
    <row r="28" spans="1:12" x14ac:dyDescent="0.25">
      <c r="A28" s="64" t="s">
        <v>84</v>
      </c>
      <c r="B28" s="24">
        <f>((D19*Input!$B$33)+B19)*Input!B45</f>
        <v>2.177</v>
      </c>
      <c r="C28" s="55" t="s">
        <v>131</v>
      </c>
      <c r="D28" s="84"/>
      <c r="F28" s="64" t="s">
        <v>84</v>
      </c>
      <c r="G28" s="24">
        <f>((I19*Input!$B$39)+G19)*Input!B45</f>
        <v>2.0979999999999999</v>
      </c>
      <c r="H28" s="55" t="s">
        <v>131</v>
      </c>
      <c r="I28" s="84"/>
      <c r="J28" s="53"/>
      <c r="K28" s="125"/>
      <c r="L28" s="63"/>
    </row>
    <row r="29" spans="1:12" x14ac:dyDescent="0.25">
      <c r="A29" s="64" t="s">
        <v>85</v>
      </c>
      <c r="B29" s="24">
        <f>((D20*Input!$B$33)+B20)*Input!B46</f>
        <v>3.8475999999999999</v>
      </c>
      <c r="C29" s="55" t="s">
        <v>131</v>
      </c>
      <c r="D29" s="84"/>
      <c r="F29" s="64" t="s">
        <v>85</v>
      </c>
      <c r="G29" s="24">
        <f>((I20*Input!$B$39)+G20)*Input!B46</f>
        <v>3.6223999999999998</v>
      </c>
      <c r="H29" s="55" t="s">
        <v>131</v>
      </c>
      <c r="I29" s="84"/>
      <c r="J29" s="53"/>
      <c r="K29" s="125"/>
      <c r="L29" s="63"/>
    </row>
    <row r="30" spans="1:12" x14ac:dyDescent="0.25">
      <c r="A30" s="64" t="s">
        <v>86</v>
      </c>
      <c r="B30" s="24">
        <f>((D21*Input!$B$33)+B21)*Input!B47</f>
        <v>0</v>
      </c>
      <c r="C30" s="55" t="s">
        <v>131</v>
      </c>
      <c r="D30" s="84"/>
      <c r="F30" s="64" t="s">
        <v>86</v>
      </c>
      <c r="G30" s="24">
        <f>((I21*Input!$B$39)+G21)*Input!B47</f>
        <v>0</v>
      </c>
      <c r="H30" s="55" t="s">
        <v>131</v>
      </c>
      <c r="I30" s="84"/>
      <c r="J30" s="53"/>
      <c r="K30" s="125"/>
      <c r="L30" s="63"/>
    </row>
    <row r="31" spans="1:12" x14ac:dyDescent="0.25">
      <c r="A31" s="64" t="s">
        <v>87</v>
      </c>
      <c r="B31" s="24">
        <f>((D22*Input!$B$33)+B22)*Input!B48</f>
        <v>0</v>
      </c>
      <c r="C31" s="55" t="s">
        <v>131</v>
      </c>
      <c r="D31" s="84"/>
      <c r="F31" s="64" t="s">
        <v>87</v>
      </c>
      <c r="G31" s="24">
        <f>((I22*Input!$B$39)+G22)*Input!B48</f>
        <v>0</v>
      </c>
      <c r="H31" s="55" t="s">
        <v>131</v>
      </c>
      <c r="I31" s="84"/>
      <c r="J31" s="53"/>
      <c r="K31" s="125"/>
      <c r="L31" s="63"/>
    </row>
    <row r="32" spans="1:12" x14ac:dyDescent="0.25">
      <c r="A32" s="64" t="s">
        <v>88</v>
      </c>
      <c r="B32" s="24">
        <f>((D23*Input!$B$33)+B23)*Input!B49</f>
        <v>4.43</v>
      </c>
      <c r="C32" s="55" t="s">
        <v>131</v>
      </c>
      <c r="D32" s="84"/>
      <c r="F32" s="64" t="s">
        <v>88</v>
      </c>
      <c r="G32" s="24">
        <f>((I23*Input!$B$39)+G23)*Input!B49</f>
        <v>4.2699999999999996</v>
      </c>
      <c r="H32" s="55" t="s">
        <v>131</v>
      </c>
      <c r="I32" s="84"/>
      <c r="J32" s="53"/>
      <c r="K32" s="125"/>
      <c r="L32" s="63"/>
    </row>
    <row r="33" spans="1:13" x14ac:dyDescent="0.25">
      <c r="A33" s="64" t="s">
        <v>94</v>
      </c>
      <c r="B33" s="24" t="e">
        <f>((D24*Input!$B$33)+B24)*Input!B50</f>
        <v>#VALUE!</v>
      </c>
      <c r="C33" s="55" t="s">
        <v>131</v>
      </c>
      <c r="D33" s="84"/>
      <c r="F33" s="64" t="s">
        <v>94</v>
      </c>
      <c r="G33" s="24" t="e">
        <f>((I24*Input!$B$39)+G24)*Input!B50</f>
        <v>#VALUE!</v>
      </c>
      <c r="H33" s="55" t="s">
        <v>131</v>
      </c>
      <c r="I33" s="84"/>
      <c r="J33" s="53"/>
      <c r="L33" s="54"/>
    </row>
    <row r="34" spans="1:13" ht="15.75" thickBot="1" x14ac:dyDescent="0.3">
      <c r="A34" s="56" t="s">
        <v>89</v>
      </c>
      <c r="B34" s="90" t="e">
        <f>((D25*Input!$B$33)+B25)*Input!B51</f>
        <v>#VALUE!</v>
      </c>
      <c r="C34" s="94" t="s">
        <v>131</v>
      </c>
      <c r="D34" s="92"/>
      <c r="F34" s="56" t="s">
        <v>89</v>
      </c>
      <c r="G34" s="102" t="e">
        <f>((I25*Input!$B$39)+G25)*Input!B51</f>
        <v>#VALUE!</v>
      </c>
      <c r="H34" s="94" t="s">
        <v>131</v>
      </c>
      <c r="I34" s="92"/>
      <c r="J34" s="53"/>
      <c r="L34" s="54"/>
      <c r="M34" s="67"/>
    </row>
    <row r="35" spans="1:13" ht="15.75" thickBot="1" x14ac:dyDescent="0.3">
      <c r="A35" s="64"/>
      <c r="C35" s="55"/>
      <c r="D35" s="84"/>
      <c r="F35" s="64"/>
      <c r="H35" s="55"/>
      <c r="I35" s="84"/>
      <c r="J35" s="54"/>
      <c r="L35" s="54"/>
    </row>
    <row r="36" spans="1:13" x14ac:dyDescent="0.25">
      <c r="A36" s="81" t="s">
        <v>61</v>
      </c>
      <c r="B36" s="82"/>
      <c r="C36" s="101"/>
      <c r="D36" s="83"/>
      <c r="F36" s="81" t="s">
        <v>61</v>
      </c>
      <c r="G36" s="82"/>
      <c r="H36" s="101"/>
      <c r="I36" s="83"/>
      <c r="J36" s="54"/>
      <c r="L36" s="54"/>
    </row>
    <row r="37" spans="1:13" ht="15.75" thickBot="1" x14ac:dyDescent="0.3">
      <c r="A37" s="56" t="s">
        <v>132</v>
      </c>
      <c r="B37" s="90">
        <f>(Input!$B$53*Input!$C$53+Input!$B$54*Input!$C$54)/100</f>
        <v>20.204999999999998</v>
      </c>
      <c r="C37" s="94" t="s">
        <v>11</v>
      </c>
      <c r="D37" s="92"/>
      <c r="F37" s="56" t="s">
        <v>132</v>
      </c>
      <c r="G37" s="90">
        <f>(Input!$B$53*Input!$C$53+Input!$B$54*Input!$C$54)/100</f>
        <v>20.204999999999998</v>
      </c>
      <c r="H37" s="94" t="s">
        <v>11</v>
      </c>
      <c r="I37" s="92"/>
      <c r="J37" s="54"/>
      <c r="L37" s="54"/>
    </row>
    <row r="38" spans="1:13" ht="15.75" thickBot="1" x14ac:dyDescent="0.3">
      <c r="A38" s="64"/>
      <c r="D38" s="84"/>
      <c r="F38" s="64"/>
      <c r="I38" s="84"/>
      <c r="J38" s="54"/>
      <c r="L38" s="54"/>
    </row>
    <row r="39" spans="1:13" x14ac:dyDescent="0.25">
      <c r="A39" s="81" t="s">
        <v>133</v>
      </c>
      <c r="B39" s="82"/>
      <c r="C39" s="82"/>
      <c r="D39" s="83"/>
      <c r="F39" s="81" t="s">
        <v>133</v>
      </c>
      <c r="G39" s="82"/>
      <c r="H39" s="82"/>
      <c r="I39" s="83"/>
      <c r="J39" s="54"/>
      <c r="L39" s="54"/>
    </row>
    <row r="40" spans="1:13" x14ac:dyDescent="0.25">
      <c r="A40" s="86" t="s">
        <v>134</v>
      </c>
      <c r="B40" s="74" t="s">
        <v>14</v>
      </c>
      <c r="D40" s="84"/>
      <c r="F40" s="86" t="s">
        <v>134</v>
      </c>
      <c r="G40" s="74" t="s">
        <v>14</v>
      </c>
      <c r="I40" s="84"/>
      <c r="J40" s="54"/>
      <c r="L40" s="54"/>
    </row>
    <row r="41" spans="1:13" x14ac:dyDescent="0.25">
      <c r="A41" s="64" t="s">
        <v>66</v>
      </c>
      <c r="B41" s="77">
        <f>$B$16*Input!B56/100</f>
        <v>0</v>
      </c>
      <c r="C41" s="54" t="s">
        <v>12</v>
      </c>
      <c r="D41" s="88"/>
      <c r="F41" s="64" t="s">
        <v>66</v>
      </c>
      <c r="G41" s="77">
        <f>$G$16*Input!B56/100</f>
        <v>0</v>
      </c>
      <c r="H41" s="54" t="s">
        <v>12</v>
      </c>
      <c r="I41" s="88"/>
      <c r="J41" s="54"/>
      <c r="L41" s="54"/>
    </row>
    <row r="42" spans="1:13" x14ac:dyDescent="0.25">
      <c r="A42" s="64" t="s">
        <v>67</v>
      </c>
      <c r="B42" s="77">
        <f>$B$16*Input!B57/100</f>
        <v>0</v>
      </c>
      <c r="C42" s="54" t="s">
        <v>12</v>
      </c>
      <c r="D42" s="88"/>
      <c r="F42" s="64" t="s">
        <v>67</v>
      </c>
      <c r="G42" s="77">
        <f>$G$16*Input!B57/100</f>
        <v>0</v>
      </c>
      <c r="H42" s="54" t="s">
        <v>12</v>
      </c>
      <c r="I42" s="88"/>
      <c r="J42" s="54"/>
      <c r="L42" s="54"/>
    </row>
    <row r="43" spans="1:13" x14ac:dyDescent="0.25">
      <c r="A43" s="64" t="s">
        <v>68</v>
      </c>
      <c r="B43" s="77">
        <f>$B$16*Input!B58/100</f>
        <v>0</v>
      </c>
      <c r="C43" s="54" t="s">
        <v>12</v>
      </c>
      <c r="D43" s="88"/>
      <c r="E43" s="58"/>
      <c r="F43" s="64" t="s">
        <v>68</v>
      </c>
      <c r="G43" s="77">
        <f>$G$16*Input!B58/100</f>
        <v>0</v>
      </c>
      <c r="H43" s="54" t="s">
        <v>12</v>
      </c>
      <c r="I43" s="88"/>
      <c r="J43" s="54"/>
      <c r="L43" s="54"/>
    </row>
    <row r="44" spans="1:13" x14ac:dyDescent="0.25">
      <c r="A44" s="64" t="s">
        <v>69</v>
      </c>
      <c r="B44" s="77">
        <f>$B$16*Input!B59/100</f>
        <v>131.85</v>
      </c>
      <c r="C44" s="54" t="s">
        <v>12</v>
      </c>
      <c r="D44" s="88"/>
      <c r="E44" s="58"/>
      <c r="F44" s="64" t="s">
        <v>69</v>
      </c>
      <c r="G44" s="77">
        <f>$G$16*Input!B59/100</f>
        <v>61.655400000000014</v>
      </c>
      <c r="H44" s="54" t="s">
        <v>12</v>
      </c>
      <c r="I44" s="88"/>
      <c r="J44" s="54"/>
      <c r="L44" s="54"/>
    </row>
    <row r="45" spans="1:13" ht="15.75" thickBot="1" x14ac:dyDescent="0.3">
      <c r="A45" s="56" t="s">
        <v>70</v>
      </c>
      <c r="B45" s="102">
        <f>$B$16*Input!B60/100</f>
        <v>131.85</v>
      </c>
      <c r="C45" s="103" t="s">
        <v>12</v>
      </c>
      <c r="D45" s="104"/>
      <c r="E45" s="58"/>
      <c r="F45" s="56" t="s">
        <v>70</v>
      </c>
      <c r="G45" s="102">
        <f>$G$16*Input!B60/100</f>
        <v>61.655400000000014</v>
      </c>
      <c r="H45" s="103" t="s">
        <v>12</v>
      </c>
      <c r="I45" s="104"/>
      <c r="J45" s="54"/>
      <c r="L45" s="54"/>
    </row>
    <row r="46" spans="1:13" ht="15.75" thickBot="1" x14ac:dyDescent="0.3">
      <c r="A46" s="64"/>
      <c r="B46" s="57"/>
      <c r="C46" s="58"/>
      <c r="D46" s="88"/>
      <c r="E46" s="58"/>
      <c r="F46" s="64"/>
      <c r="G46" s="57"/>
      <c r="H46" s="58"/>
      <c r="I46" s="88"/>
      <c r="J46" s="54"/>
      <c r="L46" s="54"/>
    </row>
    <row r="47" spans="1:13" x14ac:dyDescent="0.25">
      <c r="A47" s="81" t="s">
        <v>134</v>
      </c>
      <c r="B47" s="105" t="s">
        <v>136</v>
      </c>
      <c r="C47" s="106"/>
      <c r="D47" s="107"/>
      <c r="E47" s="58"/>
      <c r="F47" s="81" t="s">
        <v>134</v>
      </c>
      <c r="G47" s="105" t="s">
        <v>136</v>
      </c>
      <c r="H47" s="106"/>
      <c r="I47" s="107"/>
      <c r="J47" s="54"/>
      <c r="L47" s="54"/>
    </row>
    <row r="48" spans="1:13" x14ac:dyDescent="0.25">
      <c r="A48" s="64" t="s">
        <v>66</v>
      </c>
      <c r="B48" s="24">
        <f>Input!C56*B41</f>
        <v>0</v>
      </c>
      <c r="C48" s="58" t="s">
        <v>2</v>
      </c>
      <c r="D48" s="88"/>
      <c r="E48" s="58"/>
      <c r="F48" s="64" t="s">
        <v>66</v>
      </c>
      <c r="G48" s="24">
        <f>Input!C56*G41</f>
        <v>0</v>
      </c>
      <c r="H48" s="58" t="s">
        <v>2</v>
      </c>
      <c r="I48" s="88"/>
      <c r="J48" s="54"/>
      <c r="L48" s="54"/>
    </row>
    <row r="49" spans="1:15" x14ac:dyDescent="0.25">
      <c r="A49" s="64" t="s">
        <v>67</v>
      </c>
      <c r="B49" s="24">
        <f>Input!C57*B42</f>
        <v>0</v>
      </c>
      <c r="C49" s="58" t="s">
        <v>2</v>
      </c>
      <c r="D49" s="88"/>
      <c r="E49" s="58"/>
      <c r="F49" s="64" t="s">
        <v>67</v>
      </c>
      <c r="G49" s="24">
        <f>Input!C57*G42</f>
        <v>0</v>
      </c>
      <c r="H49" s="58" t="s">
        <v>2</v>
      </c>
      <c r="I49" s="88"/>
      <c r="J49" s="54"/>
      <c r="L49" s="54"/>
    </row>
    <row r="50" spans="1:15" x14ac:dyDescent="0.25">
      <c r="A50" s="64" t="s">
        <v>68</v>
      </c>
      <c r="B50" s="24">
        <f>Input!C58*B43</f>
        <v>0</v>
      </c>
      <c r="C50" s="58" t="s">
        <v>2</v>
      </c>
      <c r="D50" s="88"/>
      <c r="E50" s="58"/>
      <c r="F50" s="64" t="s">
        <v>68</v>
      </c>
      <c r="G50" s="24">
        <f>Input!C58*G43</f>
        <v>0</v>
      </c>
      <c r="H50" s="58" t="s">
        <v>2</v>
      </c>
      <c r="I50" s="88"/>
      <c r="J50" s="54"/>
      <c r="K50" s="124"/>
      <c r="L50" s="58"/>
    </row>
    <row r="51" spans="1:15" x14ac:dyDescent="0.25">
      <c r="A51" s="64" t="s">
        <v>69</v>
      </c>
      <c r="B51" s="24">
        <f>Input!C59*B44</f>
        <v>4614.75</v>
      </c>
      <c r="C51" s="58" t="s">
        <v>2</v>
      </c>
      <c r="D51" s="88"/>
      <c r="E51" s="58"/>
      <c r="F51" s="64" t="s">
        <v>69</v>
      </c>
      <c r="G51" s="24">
        <f>Input!C59*G44</f>
        <v>2157.9390000000003</v>
      </c>
      <c r="H51" s="58" t="s">
        <v>2</v>
      </c>
      <c r="I51" s="88"/>
      <c r="J51" s="54"/>
      <c r="K51" s="124"/>
      <c r="L51" s="58"/>
    </row>
    <row r="52" spans="1:15" x14ac:dyDescent="0.25">
      <c r="A52" s="64" t="s">
        <v>70</v>
      </c>
      <c r="B52" s="24">
        <f>Input!C60*B45</f>
        <v>3955.5</v>
      </c>
      <c r="C52" s="58" t="s">
        <v>2</v>
      </c>
      <c r="D52" s="88"/>
      <c r="E52" s="58"/>
      <c r="F52" s="64" t="s">
        <v>70</v>
      </c>
      <c r="G52" s="24">
        <f>Input!C60*G45</f>
        <v>1849.6620000000005</v>
      </c>
      <c r="H52" s="58" t="s">
        <v>2</v>
      </c>
      <c r="I52" s="88"/>
      <c r="J52" s="54"/>
      <c r="K52" s="124"/>
      <c r="L52" s="58"/>
    </row>
    <row r="53" spans="1:15" ht="15.75" thickBot="1" x14ac:dyDescent="0.3">
      <c r="A53" s="56" t="s">
        <v>135</v>
      </c>
      <c r="B53" s="90">
        <f>SUM(B48:B52)</f>
        <v>8570.25</v>
      </c>
      <c r="C53" s="108" t="s">
        <v>2</v>
      </c>
      <c r="D53" s="104"/>
      <c r="E53" s="58"/>
      <c r="F53" s="56" t="s">
        <v>135</v>
      </c>
      <c r="G53" s="90">
        <f>SUM(G48:G52)</f>
        <v>4007.6010000000006</v>
      </c>
      <c r="H53" s="108" t="s">
        <v>2</v>
      </c>
      <c r="I53" s="104"/>
      <c r="J53" s="54"/>
      <c r="K53" s="124"/>
      <c r="L53" s="58"/>
    </row>
    <row r="54" spans="1:15" ht="15.75" thickBot="1" x14ac:dyDescent="0.3">
      <c r="A54" s="64"/>
      <c r="B54" s="57"/>
      <c r="C54" s="58"/>
      <c r="D54" s="88"/>
      <c r="E54" s="58"/>
      <c r="F54" s="64"/>
      <c r="G54" s="57"/>
      <c r="H54" s="58"/>
      <c r="I54" s="88"/>
      <c r="J54" s="54"/>
      <c r="K54" s="124"/>
      <c r="L54" s="58"/>
    </row>
    <row r="55" spans="1:15" x14ac:dyDescent="0.25">
      <c r="A55" s="81" t="s">
        <v>137</v>
      </c>
      <c r="B55" s="82"/>
      <c r="C55" s="82"/>
      <c r="D55" s="83"/>
      <c r="E55" s="58"/>
      <c r="F55" s="81" t="s">
        <v>137</v>
      </c>
      <c r="G55" s="82"/>
      <c r="H55" s="82"/>
      <c r="I55" s="83"/>
      <c r="J55" s="54"/>
      <c r="K55" s="124"/>
      <c r="L55" s="58"/>
    </row>
    <row r="56" spans="1:15" x14ac:dyDescent="0.25">
      <c r="A56" s="86" t="s">
        <v>96</v>
      </c>
      <c r="C56" s="65"/>
      <c r="D56" s="84"/>
      <c r="E56" s="58"/>
      <c r="F56" s="86" t="s">
        <v>96</v>
      </c>
      <c r="H56" s="65"/>
      <c r="I56" s="84"/>
      <c r="J56" s="54"/>
      <c r="K56" s="124"/>
      <c r="L56" s="53"/>
    </row>
    <row r="57" spans="1:15" x14ac:dyDescent="0.25">
      <c r="A57" s="64" t="s">
        <v>138</v>
      </c>
      <c r="B57" s="79">
        <f>Input!$B$68*Input!$B$36</f>
        <v>15</v>
      </c>
      <c r="C57" s="54" t="s">
        <v>3</v>
      </c>
      <c r="D57" s="84"/>
      <c r="F57" s="64" t="s">
        <v>138</v>
      </c>
      <c r="G57" s="79">
        <f>Input!$B$68*Input!$B$42</f>
        <v>6.8100000000000005</v>
      </c>
      <c r="H57" s="54" t="s">
        <v>3</v>
      </c>
      <c r="I57" s="84"/>
      <c r="J57" s="54"/>
      <c r="L57" s="54"/>
    </row>
    <row r="58" spans="1:15" ht="15.75" thickBot="1" x14ac:dyDescent="0.3">
      <c r="A58" s="56" t="s">
        <v>139</v>
      </c>
      <c r="B58" s="90">
        <f>B57*B37</f>
        <v>303.07499999999999</v>
      </c>
      <c r="C58" s="103" t="s">
        <v>2</v>
      </c>
      <c r="D58" s="92"/>
      <c r="F58" s="56" t="s">
        <v>139</v>
      </c>
      <c r="G58" s="90">
        <f>G57*G37</f>
        <v>137.59604999999999</v>
      </c>
      <c r="H58" s="103" t="s">
        <v>2</v>
      </c>
      <c r="I58" s="92"/>
      <c r="J58" s="53"/>
      <c r="L58" s="54"/>
    </row>
    <row r="59" spans="1:15" ht="15.75" thickBot="1" x14ac:dyDescent="0.3">
      <c r="A59" s="64"/>
      <c r="D59" s="84"/>
      <c r="F59" s="64"/>
      <c r="I59" s="84"/>
      <c r="J59" s="54"/>
      <c r="L59" s="54"/>
    </row>
    <row r="60" spans="1:15" x14ac:dyDescent="0.25">
      <c r="A60" s="81" t="s">
        <v>84</v>
      </c>
      <c r="B60" s="82"/>
      <c r="C60" s="109"/>
      <c r="D60" s="83"/>
      <c r="F60" s="81" t="s">
        <v>84</v>
      </c>
      <c r="G60" s="82"/>
      <c r="H60" s="109"/>
      <c r="I60" s="83"/>
      <c r="J60" s="54"/>
      <c r="L60" s="54"/>
      <c r="M60" s="67"/>
    </row>
    <row r="61" spans="1:15" x14ac:dyDescent="0.25">
      <c r="A61" s="64" t="s">
        <v>148</v>
      </c>
      <c r="B61" s="77">
        <f>B16/B28</f>
        <v>121.12999540652272</v>
      </c>
      <c r="C61" s="62" t="s">
        <v>3</v>
      </c>
      <c r="D61" s="84"/>
      <c r="F61" s="64" t="s">
        <v>148</v>
      </c>
      <c r="G61" s="77">
        <f>G16/G28</f>
        <v>58.775405147759791</v>
      </c>
      <c r="H61" s="62" t="s">
        <v>3</v>
      </c>
      <c r="I61" s="84"/>
      <c r="J61" s="54"/>
      <c r="L61" s="54"/>
      <c r="M61" s="67"/>
      <c r="O61" s="54"/>
    </row>
    <row r="62" spans="1:15" x14ac:dyDescent="0.25">
      <c r="A62" s="64" t="s">
        <v>140</v>
      </c>
      <c r="B62" s="79">
        <v>6</v>
      </c>
      <c r="C62" s="55" t="s">
        <v>10</v>
      </c>
      <c r="D62" s="84"/>
      <c r="F62" s="64" t="s">
        <v>140</v>
      </c>
      <c r="G62" s="54">
        <v>6</v>
      </c>
      <c r="H62" s="55" t="s">
        <v>10</v>
      </c>
      <c r="I62" s="84"/>
      <c r="J62" s="54"/>
      <c r="L62" s="54"/>
      <c r="M62" s="67"/>
      <c r="N62" s="68"/>
    </row>
    <row r="63" spans="1:15" x14ac:dyDescent="0.25">
      <c r="A63" s="64" t="s">
        <v>141</v>
      </c>
      <c r="B63" s="78">
        <f>Input!$B$64*B61</f>
        <v>363.38998621956819</v>
      </c>
      <c r="C63" s="62" t="s">
        <v>2</v>
      </c>
      <c r="D63" s="84"/>
      <c r="F63" s="64" t="s">
        <v>141</v>
      </c>
      <c r="G63" s="78">
        <f>Input!$B$64*G61</f>
        <v>176.32621544327938</v>
      </c>
      <c r="H63" s="62" t="s">
        <v>2</v>
      </c>
      <c r="I63" s="84"/>
      <c r="J63" s="54"/>
      <c r="L63" s="54"/>
      <c r="M63" s="67"/>
      <c r="N63" s="68"/>
    </row>
    <row r="64" spans="1:15" x14ac:dyDescent="0.25">
      <c r="A64" s="64" t="s">
        <v>142</v>
      </c>
      <c r="B64" s="24">
        <f>B61*B37</f>
        <v>2447.4315571887914</v>
      </c>
      <c r="C64" s="62" t="s">
        <v>2</v>
      </c>
      <c r="D64" s="84"/>
      <c r="F64" s="64" t="s">
        <v>142</v>
      </c>
      <c r="G64" s="24">
        <f>G61*G37</f>
        <v>1187.5570610104864</v>
      </c>
      <c r="H64" s="62" t="s">
        <v>2</v>
      </c>
      <c r="I64" s="84"/>
      <c r="J64" s="54"/>
      <c r="L64" s="54"/>
      <c r="N64" s="68"/>
    </row>
    <row r="65" spans="1:15" x14ac:dyDescent="0.25">
      <c r="A65" s="64" t="s">
        <v>143</v>
      </c>
      <c r="B65" s="24">
        <f>+B64+B63</f>
        <v>2810.8215434083595</v>
      </c>
      <c r="C65" s="62" t="s">
        <v>2</v>
      </c>
      <c r="D65" s="89"/>
      <c r="F65" s="64" t="s">
        <v>143</v>
      </c>
      <c r="G65" s="24">
        <f>+G64+G63</f>
        <v>1363.8832764537658</v>
      </c>
      <c r="H65" s="62" t="s">
        <v>2</v>
      </c>
      <c r="I65" s="89"/>
      <c r="J65" s="54"/>
      <c r="L65" s="54"/>
      <c r="N65" s="69"/>
    </row>
    <row r="66" spans="1:15" ht="15.75" thickBot="1" x14ac:dyDescent="0.3">
      <c r="A66" s="56" t="s">
        <v>144</v>
      </c>
      <c r="B66" s="90">
        <f>+B65/B16</f>
        <v>10.659163987138262</v>
      </c>
      <c r="C66" s="91" t="s">
        <v>9</v>
      </c>
      <c r="D66" s="110"/>
      <c r="F66" s="56" t="s">
        <v>144</v>
      </c>
      <c r="G66" s="90">
        <f>+G65/G16</f>
        <v>11.060533841754051</v>
      </c>
      <c r="H66" s="91" t="s">
        <v>9</v>
      </c>
      <c r="I66" s="110"/>
      <c r="J66" s="54"/>
      <c r="L66" s="54"/>
      <c r="N66" s="70"/>
      <c r="O66" s="65"/>
    </row>
    <row r="67" spans="1:15" ht="15.75" thickBot="1" x14ac:dyDescent="0.3">
      <c r="A67" s="64"/>
      <c r="C67" s="62"/>
      <c r="D67" s="89"/>
      <c r="F67" s="64"/>
      <c r="H67" s="62"/>
      <c r="I67" s="89"/>
      <c r="J67" s="57"/>
      <c r="L67" s="54"/>
      <c r="N67" s="70"/>
      <c r="O67" s="65"/>
    </row>
    <row r="68" spans="1:15" x14ac:dyDescent="0.25">
      <c r="A68" s="81" t="s">
        <v>85</v>
      </c>
      <c r="B68" s="82"/>
      <c r="C68" s="111"/>
      <c r="D68" s="112"/>
      <c r="F68" s="81" t="s">
        <v>85</v>
      </c>
      <c r="G68" s="82"/>
      <c r="H68" s="111"/>
      <c r="I68" s="112"/>
      <c r="J68" s="57"/>
      <c r="L68" s="54"/>
    </row>
    <row r="69" spans="1:15" x14ac:dyDescent="0.25">
      <c r="A69" s="64" t="s">
        <v>148</v>
      </c>
      <c r="B69" s="77">
        <f>B16/B29</f>
        <v>68.536230377378104</v>
      </c>
      <c r="C69" s="62" t="s">
        <v>3</v>
      </c>
      <c r="D69" s="89"/>
      <c r="F69" s="64" t="s">
        <v>148</v>
      </c>
      <c r="G69" s="77">
        <f>G16/G29</f>
        <v>34.041188162544181</v>
      </c>
      <c r="H69" s="62" t="s">
        <v>3</v>
      </c>
      <c r="I69" s="89"/>
      <c r="J69" s="57"/>
      <c r="L69" s="54"/>
    </row>
    <row r="70" spans="1:15" x14ac:dyDescent="0.25">
      <c r="A70" s="64" t="s">
        <v>145</v>
      </c>
      <c r="B70" s="78">
        <f>Input!$B$63*B69</f>
        <v>2398.7680632082338</v>
      </c>
      <c r="C70" s="62" t="s">
        <v>2</v>
      </c>
      <c r="D70" s="84"/>
      <c r="F70" s="64" t="s">
        <v>145</v>
      </c>
      <c r="G70" s="78">
        <f>Input!$B$63*G69</f>
        <v>1191.4415856890464</v>
      </c>
      <c r="H70" s="62" t="s">
        <v>2</v>
      </c>
      <c r="I70" s="84"/>
      <c r="J70" s="57"/>
      <c r="L70" s="54"/>
    </row>
    <row r="71" spans="1:15" x14ac:dyDescent="0.25">
      <c r="A71" s="64" t="s">
        <v>142</v>
      </c>
      <c r="B71" s="24">
        <f>+B69*B37</f>
        <v>1384.7745347749244</v>
      </c>
      <c r="C71" s="62" t="s">
        <v>2</v>
      </c>
      <c r="D71" s="89"/>
      <c r="F71" s="64" t="s">
        <v>142</v>
      </c>
      <c r="G71" s="24">
        <f>+G69*G37</f>
        <v>687.80220682420509</v>
      </c>
      <c r="H71" s="62" t="s">
        <v>2</v>
      </c>
      <c r="I71" s="89"/>
      <c r="J71" s="57"/>
      <c r="L71" s="54"/>
    </row>
    <row r="72" spans="1:15" x14ac:dyDescent="0.25">
      <c r="A72" s="64" t="s">
        <v>146</v>
      </c>
      <c r="B72" s="24">
        <f>+B71+B70</f>
        <v>3783.542597983158</v>
      </c>
      <c r="C72" s="62" t="s">
        <v>2</v>
      </c>
      <c r="D72" s="89"/>
      <c r="F72" s="64" t="s">
        <v>146</v>
      </c>
      <c r="G72" s="24">
        <f>+G71+G70</f>
        <v>1879.2437925132515</v>
      </c>
      <c r="H72" s="62" t="s">
        <v>2</v>
      </c>
      <c r="I72" s="89"/>
      <c r="J72" s="54"/>
      <c r="L72" s="54"/>
    </row>
    <row r="73" spans="1:15" ht="15.75" thickBot="1" x14ac:dyDescent="0.3">
      <c r="A73" s="56" t="s">
        <v>144</v>
      </c>
      <c r="B73" s="90">
        <f>+B72/B16</f>
        <v>14.347905187649443</v>
      </c>
      <c r="C73" s="91" t="s">
        <v>9</v>
      </c>
      <c r="D73" s="110"/>
      <c r="F73" s="56" t="s">
        <v>144</v>
      </c>
      <c r="G73" s="90">
        <f>+G72/G16</f>
        <v>15.23989620141343</v>
      </c>
      <c r="H73" s="91" t="s">
        <v>9</v>
      </c>
      <c r="I73" s="110"/>
      <c r="J73" s="57"/>
      <c r="L73" s="54"/>
      <c r="M73" s="71"/>
    </row>
    <row r="74" spans="1:15" ht="15.75" thickBot="1" x14ac:dyDescent="0.3">
      <c r="A74" s="64"/>
      <c r="C74" s="62"/>
      <c r="D74" s="84"/>
      <c r="F74" s="64"/>
      <c r="H74" s="62"/>
      <c r="I74" s="84"/>
      <c r="J74" s="57"/>
      <c r="L74" s="54"/>
    </row>
    <row r="75" spans="1:15" x14ac:dyDescent="0.25">
      <c r="A75" s="81" t="s">
        <v>147</v>
      </c>
      <c r="B75" s="82"/>
      <c r="C75" s="111"/>
      <c r="D75" s="83"/>
      <c r="F75" s="81" t="s">
        <v>147</v>
      </c>
      <c r="G75" s="82"/>
      <c r="H75" s="111"/>
      <c r="I75" s="83"/>
      <c r="J75" s="54"/>
      <c r="L75" s="54"/>
    </row>
    <row r="76" spans="1:15" x14ac:dyDescent="0.25">
      <c r="A76" s="64" t="s">
        <v>148</v>
      </c>
      <c r="B76" s="24">
        <f>B16/B32</f>
        <v>59.525959367945823</v>
      </c>
      <c r="C76" s="62" t="s">
        <v>3</v>
      </c>
      <c r="D76" s="84"/>
      <c r="F76" s="64" t="s">
        <v>148</v>
      </c>
      <c r="G76" s="24">
        <f>G16/G32</f>
        <v>28.878407494145208</v>
      </c>
      <c r="H76" s="62" t="s">
        <v>3</v>
      </c>
      <c r="I76" s="84"/>
      <c r="J76" s="54"/>
      <c r="L76" s="54"/>
    </row>
    <row r="77" spans="1:15" x14ac:dyDescent="0.25">
      <c r="A77" s="64" t="s">
        <v>145</v>
      </c>
      <c r="B77" s="78">
        <f>(Input!$B$63*B76*Input!$B$49)+(Input!$B$47*Input!$B$66*'ASFORESEE1&amp;2 Forest Management'!B76)+('ASFORESEE1&amp;2 Forest Management'!B76*Input!$B$65*Input!$B$48)</f>
        <v>2083.4085778781036</v>
      </c>
      <c r="C77" s="62" t="s">
        <v>2</v>
      </c>
      <c r="D77" s="84"/>
      <c r="F77" s="64" t="s">
        <v>145</v>
      </c>
      <c r="G77" s="78">
        <f>(Input!$B$63*G76*Input!$B$49)+(Input!$B$47*Input!$B$66*'ASFORESEE1&amp;2 Forest Management'!G76)+('ASFORESEE1&amp;2 Forest Management'!G76*Input!$B$65*Input!$B$48)</f>
        <v>1010.7442622950823</v>
      </c>
      <c r="H77" s="62" t="s">
        <v>2</v>
      </c>
      <c r="I77" s="84"/>
      <c r="J77" s="54"/>
      <c r="L77" s="54"/>
      <c r="N77" s="72"/>
    </row>
    <row r="78" spans="1:15" x14ac:dyDescent="0.25">
      <c r="A78" s="64" t="s">
        <v>142</v>
      </c>
      <c r="B78" s="24">
        <f>+B76*B37</f>
        <v>1202.7220090293454</v>
      </c>
      <c r="C78" s="62" t="s">
        <v>2</v>
      </c>
      <c r="D78" s="84"/>
      <c r="F78" s="64" t="s">
        <v>142</v>
      </c>
      <c r="G78" s="24">
        <f>+G76*G37</f>
        <v>583.4882234192039</v>
      </c>
      <c r="H78" s="62" t="s">
        <v>2</v>
      </c>
      <c r="I78" s="84"/>
      <c r="J78" s="54"/>
      <c r="L78" s="54"/>
    </row>
    <row r="79" spans="1:15" x14ac:dyDescent="0.25">
      <c r="A79" s="64" t="s">
        <v>149</v>
      </c>
      <c r="B79" s="24">
        <f>+B78+B77</f>
        <v>3286.130586907449</v>
      </c>
      <c r="C79" s="62" t="s">
        <v>2</v>
      </c>
      <c r="D79" s="84"/>
      <c r="F79" s="64" t="s">
        <v>149</v>
      </c>
      <c r="G79" s="24">
        <f>+G78+G77</f>
        <v>1594.2324857142862</v>
      </c>
      <c r="H79" s="62" t="s">
        <v>2</v>
      </c>
      <c r="I79" s="84"/>
      <c r="J79" s="54"/>
      <c r="L79" s="54"/>
    </row>
    <row r="80" spans="1:15" ht="15.75" thickBot="1" x14ac:dyDescent="0.3">
      <c r="A80" s="56" t="s">
        <v>144</v>
      </c>
      <c r="B80" s="90">
        <f>+B79/B16</f>
        <v>12.461625282167043</v>
      </c>
      <c r="C80" s="91" t="s">
        <v>9</v>
      </c>
      <c r="D80" s="92"/>
      <c r="F80" s="56" t="s">
        <v>144</v>
      </c>
      <c r="G80" s="90">
        <f>+G79/G16</f>
        <v>12.928571428571429</v>
      </c>
      <c r="H80" s="91" t="s">
        <v>9</v>
      </c>
      <c r="I80" s="92"/>
      <c r="J80" s="54"/>
      <c r="L80" s="54"/>
    </row>
    <row r="81" spans="1:15" ht="16.5" thickBot="1" x14ac:dyDescent="0.3">
      <c r="A81" s="64"/>
      <c r="C81" s="62"/>
      <c r="D81" s="84"/>
      <c r="F81" s="64"/>
      <c r="H81" s="62"/>
      <c r="I81" s="84"/>
      <c r="J81" s="54"/>
      <c r="K81" s="126"/>
      <c r="L81" s="75"/>
      <c r="M81" s="75"/>
    </row>
    <row r="82" spans="1:15" ht="15.75" x14ac:dyDescent="0.25">
      <c r="A82" s="81" t="s">
        <v>162</v>
      </c>
      <c r="B82" s="82"/>
      <c r="C82" s="111"/>
      <c r="D82" s="112"/>
      <c r="F82" s="81" t="s">
        <v>162</v>
      </c>
      <c r="G82" s="82"/>
      <c r="H82" s="111"/>
      <c r="I82" s="112"/>
      <c r="J82" s="54"/>
      <c r="K82" s="126"/>
      <c r="L82" s="75"/>
      <c r="M82" s="75"/>
    </row>
    <row r="83" spans="1:15" s="75" customFormat="1" ht="15.75" x14ac:dyDescent="0.25">
      <c r="A83" s="64" t="s">
        <v>150</v>
      </c>
      <c r="B83" s="78">
        <f>+B63+B77+B70</f>
        <v>4845.5666273059051</v>
      </c>
      <c r="C83" s="62" t="s">
        <v>2</v>
      </c>
      <c r="D83" s="89"/>
      <c r="E83" s="54"/>
      <c r="F83" s="64" t="s">
        <v>150</v>
      </c>
      <c r="G83" s="78">
        <f>+G63+G77+G70</f>
        <v>2378.5120634274081</v>
      </c>
      <c r="H83" s="62" t="s">
        <v>2</v>
      </c>
      <c r="I83" s="89"/>
      <c r="K83" s="123"/>
      <c r="L83" s="54"/>
      <c r="M83" s="54"/>
      <c r="N83" s="118"/>
      <c r="O83" s="119"/>
    </row>
    <row r="84" spans="1:15" s="75" customFormat="1" ht="15.75" x14ac:dyDescent="0.25">
      <c r="A84" s="64" t="s">
        <v>151</v>
      </c>
      <c r="B84" s="78">
        <f>+B64+B71+B78+B58</f>
        <v>5338.0031009930617</v>
      </c>
      <c r="C84" s="62" t="s">
        <v>2</v>
      </c>
      <c r="D84" s="89"/>
      <c r="E84" s="54"/>
      <c r="F84" s="64" t="s">
        <v>151</v>
      </c>
      <c r="G84" s="78">
        <f>+G64+G71+G78+G58</f>
        <v>2596.4435412538955</v>
      </c>
      <c r="H84" s="62" t="s">
        <v>2</v>
      </c>
      <c r="I84" s="89"/>
      <c r="K84" s="123"/>
      <c r="L84" s="54"/>
      <c r="M84" s="54"/>
      <c r="N84" s="118"/>
      <c r="O84" s="121"/>
    </row>
    <row r="85" spans="1:15" x14ac:dyDescent="0.25">
      <c r="A85" s="64" t="s">
        <v>152</v>
      </c>
      <c r="B85" s="78">
        <f>+B84+B83</f>
        <v>10183.569728298968</v>
      </c>
      <c r="C85" s="62" t="s">
        <v>2</v>
      </c>
      <c r="D85" s="84"/>
      <c r="F85" s="64" t="s">
        <v>152</v>
      </c>
      <c r="G85" s="78">
        <f>+G84+G83</f>
        <v>4974.9556046813032</v>
      </c>
      <c r="H85" s="62" t="s">
        <v>2</v>
      </c>
      <c r="I85" s="84"/>
      <c r="J85" s="57"/>
      <c r="L85" s="54"/>
    </row>
    <row r="86" spans="1:15" x14ac:dyDescent="0.25">
      <c r="A86" s="64" t="s">
        <v>153</v>
      </c>
      <c r="B86" s="80">
        <v>0.1</v>
      </c>
      <c r="C86" s="62" t="s">
        <v>0</v>
      </c>
      <c r="D86" s="84"/>
      <c r="F86" s="64" t="s">
        <v>153</v>
      </c>
      <c r="G86" s="80">
        <v>0.1</v>
      </c>
      <c r="H86" s="62" t="s">
        <v>0</v>
      </c>
      <c r="I86" s="84"/>
      <c r="J86" s="57"/>
      <c r="L86" s="54"/>
    </row>
    <row r="87" spans="1:15" x14ac:dyDescent="0.25">
      <c r="A87" s="64" t="s">
        <v>154</v>
      </c>
      <c r="B87" s="78">
        <f>B86*B85</f>
        <v>1018.3569728298968</v>
      </c>
      <c r="C87" s="62" t="s">
        <v>2</v>
      </c>
      <c r="D87" s="84"/>
      <c r="F87" s="64" t="s">
        <v>154</v>
      </c>
      <c r="G87" s="78">
        <f>G86*G85</f>
        <v>497.49556046813035</v>
      </c>
      <c r="H87" s="62" t="s">
        <v>2</v>
      </c>
      <c r="I87" s="84"/>
      <c r="J87" s="57"/>
      <c r="L87" s="54"/>
    </row>
    <row r="88" spans="1:15" x14ac:dyDescent="0.25">
      <c r="A88" s="64" t="s">
        <v>155</v>
      </c>
      <c r="B88" s="78">
        <f>SUM(B85:B87)</f>
        <v>11202.026701128865</v>
      </c>
      <c r="C88" s="62" t="s">
        <v>2</v>
      </c>
      <c r="D88" s="84"/>
      <c r="F88" s="64" t="s">
        <v>155</v>
      </c>
      <c r="G88" s="78">
        <f>SUM(G85:G87)</f>
        <v>5472.5511651494335</v>
      </c>
      <c r="H88" s="62" t="s">
        <v>2</v>
      </c>
      <c r="I88" s="84"/>
      <c r="J88" s="54"/>
      <c r="L88" s="54"/>
    </row>
    <row r="89" spans="1:15" x14ac:dyDescent="0.25">
      <c r="A89" s="64" t="s">
        <v>144</v>
      </c>
      <c r="B89" s="24">
        <f>+B88/B16</f>
        <v>42.480192268217159</v>
      </c>
      <c r="C89" s="62" t="s">
        <v>9</v>
      </c>
      <c r="D89" s="84"/>
      <c r="F89" s="64" t="s">
        <v>144</v>
      </c>
      <c r="G89" s="24">
        <f>+G88/G16</f>
        <v>44.380144846594398</v>
      </c>
      <c r="H89" s="62" t="s">
        <v>9</v>
      </c>
      <c r="I89" s="84"/>
      <c r="J89" s="54"/>
      <c r="L89" s="54"/>
      <c r="N89" s="70"/>
      <c r="O89" s="65"/>
    </row>
    <row r="90" spans="1:15" ht="15.75" x14ac:dyDescent="0.25">
      <c r="A90" s="114" t="s">
        <v>157</v>
      </c>
      <c r="B90" s="115">
        <f>+B53-B88</f>
        <v>-2631.7767011288652</v>
      </c>
      <c r="C90" s="116" t="s">
        <v>2</v>
      </c>
      <c r="D90" s="117"/>
      <c r="E90" s="75"/>
      <c r="F90" s="114" t="s">
        <v>157</v>
      </c>
      <c r="G90" s="115">
        <f>+G53-G88</f>
        <v>-1464.9501651494329</v>
      </c>
      <c r="H90" s="116" t="s">
        <v>2</v>
      </c>
      <c r="I90" s="117"/>
      <c r="J90" s="54"/>
      <c r="L90" s="54"/>
      <c r="O90" s="65"/>
    </row>
    <row r="91" spans="1:15" ht="15.75" x14ac:dyDescent="0.25">
      <c r="A91" s="114" t="s">
        <v>156</v>
      </c>
      <c r="B91" s="120">
        <f>+B90/B16</f>
        <v>-9.9801922682171611</v>
      </c>
      <c r="C91" s="116" t="s">
        <v>9</v>
      </c>
      <c r="D91" s="117"/>
      <c r="E91" s="75"/>
      <c r="F91" s="114" t="s">
        <v>156</v>
      </c>
      <c r="G91" s="120">
        <f>+G90/G16</f>
        <v>-11.880144846594398</v>
      </c>
      <c r="H91" s="116" t="s">
        <v>9</v>
      </c>
      <c r="I91" s="117"/>
      <c r="J91" s="54"/>
      <c r="L91" s="54"/>
      <c r="O91" s="65"/>
    </row>
    <row r="92" spans="1:15" x14ac:dyDescent="0.25">
      <c r="A92" s="64" t="s">
        <v>158</v>
      </c>
      <c r="B92" s="77">
        <f>B76+B69+B61+B57</f>
        <v>264.19218515184667</v>
      </c>
      <c r="C92" s="62" t="s">
        <v>3</v>
      </c>
      <c r="D92" s="84"/>
      <c r="F92" s="64" t="s">
        <v>158</v>
      </c>
      <c r="G92" s="77">
        <f>G76+G69+G61+G57</f>
        <v>128.50500080444917</v>
      </c>
      <c r="H92" s="62" t="s">
        <v>3</v>
      </c>
      <c r="I92" s="84"/>
      <c r="J92" s="54"/>
      <c r="L92" s="54"/>
      <c r="O92" s="65"/>
    </row>
    <row r="93" spans="1:15" ht="15.75" thickBot="1" x14ac:dyDescent="0.3">
      <c r="A93" s="56" t="s">
        <v>159</v>
      </c>
      <c r="B93" s="90">
        <f>B16/B92</f>
        <v>0.99813701850581316</v>
      </c>
      <c r="C93" s="91" t="s">
        <v>8</v>
      </c>
      <c r="D93" s="92"/>
      <c r="F93" s="56" t="s">
        <v>159</v>
      </c>
      <c r="G93" s="90">
        <f>G16/G92</f>
        <v>0.95957977688079743</v>
      </c>
      <c r="H93" s="91" t="s">
        <v>8</v>
      </c>
      <c r="I93" s="92"/>
      <c r="J93" s="54"/>
      <c r="L93" s="54"/>
      <c r="N93" s="60"/>
      <c r="O93" s="65"/>
    </row>
    <row r="94" spans="1:15" x14ac:dyDescent="0.25">
      <c r="B94" s="24"/>
      <c r="C94" s="62"/>
      <c r="G94" s="24"/>
      <c r="H94" s="62"/>
      <c r="J94" s="54"/>
      <c r="L94" s="54"/>
      <c r="N94" s="60"/>
      <c r="O94" s="65"/>
    </row>
    <row r="95" spans="1:15" ht="15.75" thickBot="1" x14ac:dyDescent="0.3">
      <c r="C95" s="65"/>
      <c r="H95" s="65"/>
      <c r="J95" s="54"/>
      <c r="L95" s="54"/>
      <c r="N95" s="70"/>
      <c r="O95" s="65"/>
    </row>
    <row r="96" spans="1:15" x14ac:dyDescent="0.25">
      <c r="A96" s="81" t="s">
        <v>161</v>
      </c>
      <c r="B96" s="82"/>
      <c r="C96" s="82"/>
      <c r="D96" s="83"/>
      <c r="F96" s="81" t="s">
        <v>161</v>
      </c>
      <c r="G96" s="82"/>
      <c r="H96" s="82"/>
      <c r="I96" s="83"/>
      <c r="J96" s="54"/>
      <c r="L96" s="54"/>
      <c r="N96" s="70"/>
      <c r="O96" s="65"/>
    </row>
    <row r="97" spans="1:15" x14ac:dyDescent="0.25">
      <c r="A97" s="64" t="s">
        <v>120</v>
      </c>
      <c r="B97" s="54" t="s">
        <v>119</v>
      </c>
      <c r="C97" s="55"/>
      <c r="D97" s="84"/>
      <c r="F97" s="64" t="s">
        <v>120</v>
      </c>
      <c r="G97" s="54" t="str">
        <f>Input!B38</f>
        <v>B (optional)</v>
      </c>
      <c r="H97" s="55"/>
      <c r="I97" s="84"/>
      <c r="J97" s="54"/>
      <c r="L97" s="54"/>
      <c r="N97" s="72"/>
      <c r="O97" s="65"/>
    </row>
    <row r="98" spans="1:15" x14ac:dyDescent="0.25">
      <c r="A98" s="85" t="s">
        <v>121</v>
      </c>
      <c r="B98" s="54">
        <v>2</v>
      </c>
      <c r="C98" s="55"/>
      <c r="D98" s="84"/>
      <c r="F98" s="85" t="s">
        <v>121</v>
      </c>
      <c r="G98" s="54">
        <v>2</v>
      </c>
      <c r="H98" s="55"/>
      <c r="I98" s="84"/>
      <c r="J98" s="54"/>
      <c r="N98" s="73"/>
      <c r="O98" s="65"/>
    </row>
    <row r="99" spans="1:15" x14ac:dyDescent="0.25">
      <c r="A99" s="85" t="s">
        <v>163</v>
      </c>
      <c r="B99" s="54" t="str">
        <f>IF((Input!B34+Input!B35)&lt;Input!B9,"YES","NO")</f>
        <v>NO</v>
      </c>
      <c r="C99" s="55"/>
      <c r="D99" s="84"/>
      <c r="F99" s="85" t="s">
        <v>163</v>
      </c>
      <c r="G99" s="54" t="str">
        <f>IF((Legend!B32+Legend!B33)&lt;Legend!B7,"YES","NO")</f>
        <v>YES</v>
      </c>
      <c r="H99" s="55"/>
      <c r="I99" s="84"/>
      <c r="J99" s="54"/>
      <c r="N99" s="72"/>
      <c r="O99" s="65"/>
    </row>
    <row r="100" spans="1:15" x14ac:dyDescent="0.25">
      <c r="A100" s="85"/>
      <c r="C100" s="55"/>
      <c r="D100" s="84"/>
      <c r="F100" s="85"/>
      <c r="H100" s="55"/>
      <c r="I100" s="84"/>
      <c r="M100" s="71"/>
      <c r="O100" s="65"/>
    </row>
    <row r="101" spans="1:15" x14ac:dyDescent="0.25">
      <c r="A101" s="64" t="s">
        <v>122</v>
      </c>
      <c r="B101" s="24">
        <f>'ASFORESEE1&amp;2 Forest Management'!B15+ (Input!B35*Input!B30)</f>
        <v>1211.9000000000001</v>
      </c>
      <c r="C101" s="55" t="s">
        <v>15</v>
      </c>
      <c r="D101" s="84"/>
      <c r="F101" s="64" t="s">
        <v>122</v>
      </c>
      <c r="G101" s="24">
        <f>'ASFORESEE1&amp;2 Forest Management'!G15+ (Legend!B39*Legend!B28)</f>
        <v>548.048</v>
      </c>
      <c r="H101" s="55" t="s">
        <v>15</v>
      </c>
      <c r="I101" s="84"/>
      <c r="O101" s="65"/>
    </row>
    <row r="102" spans="1:15" x14ac:dyDescent="0.25">
      <c r="A102" s="64" t="s">
        <v>123</v>
      </c>
      <c r="B102" s="77">
        <f>B101*Input!B37</f>
        <v>242.38000000000002</v>
      </c>
      <c r="C102" s="55" t="s">
        <v>15</v>
      </c>
      <c r="D102" s="84"/>
      <c r="F102" s="64" t="s">
        <v>123</v>
      </c>
      <c r="G102" s="77">
        <f>G101*Input!B37</f>
        <v>109.6096</v>
      </c>
      <c r="H102" s="55" t="s">
        <v>15</v>
      </c>
      <c r="I102" s="84"/>
      <c r="J102" s="54"/>
      <c r="O102" s="65"/>
    </row>
    <row r="103" spans="1:15" x14ac:dyDescent="0.25">
      <c r="A103" s="64" t="s">
        <v>124</v>
      </c>
      <c r="B103" s="78">
        <f>B101-B102</f>
        <v>969.5200000000001</v>
      </c>
      <c r="C103" s="55" t="s">
        <v>15</v>
      </c>
      <c r="D103" s="84"/>
      <c r="F103" s="64" t="s">
        <v>124</v>
      </c>
      <c r="G103" s="78">
        <f>G101-G102</f>
        <v>438.4384</v>
      </c>
      <c r="H103" s="55" t="s">
        <v>15</v>
      </c>
      <c r="I103" s="84"/>
      <c r="J103" s="54"/>
    </row>
    <row r="104" spans="1:15" ht="15.75" thickBot="1" x14ac:dyDescent="0.3">
      <c r="A104" s="56" t="s">
        <v>125</v>
      </c>
      <c r="B104" s="93">
        <f>(1-Input!B61)*B102</f>
        <v>218.14200000000002</v>
      </c>
      <c r="C104" s="94" t="s">
        <v>12</v>
      </c>
      <c r="D104" s="92"/>
      <c r="F104" s="56" t="s">
        <v>125</v>
      </c>
      <c r="G104" s="93">
        <f>(1-Input!B61)*G102</f>
        <v>98.64864</v>
      </c>
      <c r="H104" s="94" t="s">
        <v>12</v>
      </c>
      <c r="I104" s="92"/>
      <c r="J104" s="54"/>
    </row>
    <row r="105" spans="1:15" ht="15.75" thickBot="1" x14ac:dyDescent="0.3">
      <c r="A105" s="64"/>
      <c r="C105" s="59"/>
      <c r="D105" s="84"/>
      <c r="F105" s="64"/>
      <c r="H105" s="59"/>
      <c r="I105" s="84"/>
      <c r="J105" s="54"/>
    </row>
    <row r="106" spans="1:15" x14ac:dyDescent="0.25">
      <c r="A106" s="81" t="s">
        <v>59</v>
      </c>
      <c r="B106" s="95" t="s">
        <v>126</v>
      </c>
      <c r="C106" s="95" t="s">
        <v>127</v>
      </c>
      <c r="D106" s="96" t="s">
        <v>128</v>
      </c>
      <c r="F106" s="81" t="s">
        <v>59</v>
      </c>
      <c r="G106" s="95" t="s">
        <v>126</v>
      </c>
      <c r="H106" s="95" t="s">
        <v>127</v>
      </c>
      <c r="I106" s="96" t="s">
        <v>128</v>
      </c>
      <c r="J106" s="54"/>
    </row>
    <row r="107" spans="1:15" x14ac:dyDescent="0.25">
      <c r="A107" s="64" t="s">
        <v>84</v>
      </c>
      <c r="B107" s="53">
        <v>1.1499999999999999</v>
      </c>
      <c r="C107" s="53">
        <v>3.125</v>
      </c>
      <c r="D107" s="87">
        <f>C107-B107</f>
        <v>1.9750000000000001</v>
      </c>
      <c r="F107" s="64" t="s">
        <v>84</v>
      </c>
      <c r="G107" s="53">
        <v>1.1499999999999999</v>
      </c>
      <c r="H107" s="53">
        <v>3.125</v>
      </c>
      <c r="I107" s="87">
        <f>H107-G107</f>
        <v>1.9750000000000001</v>
      </c>
      <c r="J107" s="54"/>
    </row>
    <row r="108" spans="1:15" x14ac:dyDescent="0.25">
      <c r="A108" s="64" t="s">
        <v>85</v>
      </c>
      <c r="B108" s="53">
        <v>0.92</v>
      </c>
      <c r="C108" s="53">
        <v>6.55</v>
      </c>
      <c r="D108" s="87">
        <f>C108-B108</f>
        <v>5.63</v>
      </c>
      <c r="F108" s="64" t="s">
        <v>85</v>
      </c>
      <c r="G108" s="53">
        <v>0.92</v>
      </c>
      <c r="H108" s="53">
        <v>6.55</v>
      </c>
      <c r="I108" s="87">
        <f>H108-G108</f>
        <v>5.63</v>
      </c>
      <c r="J108" s="54"/>
    </row>
    <row r="109" spans="1:15" x14ac:dyDescent="0.25">
      <c r="A109" s="64" t="s">
        <v>86</v>
      </c>
      <c r="B109" s="53">
        <v>6</v>
      </c>
      <c r="C109" s="53">
        <v>16.329999999999998</v>
      </c>
      <c r="D109" s="87">
        <f>C109-B109</f>
        <v>10.329999999999998</v>
      </c>
      <c r="F109" s="64" t="s">
        <v>86</v>
      </c>
      <c r="G109" s="53">
        <v>6</v>
      </c>
      <c r="H109" s="53">
        <v>16.329999999999998</v>
      </c>
      <c r="I109" s="87">
        <f>H109-G109</f>
        <v>10.329999999999998</v>
      </c>
      <c r="J109" s="54"/>
    </row>
    <row r="110" spans="1:15" x14ac:dyDescent="0.25">
      <c r="A110" s="64" t="s">
        <v>87</v>
      </c>
      <c r="B110" s="53">
        <v>3.2</v>
      </c>
      <c r="C110" s="53">
        <v>7.9</v>
      </c>
      <c r="D110" s="87">
        <f>C110-B110</f>
        <v>4.7</v>
      </c>
      <c r="F110" s="64" t="s">
        <v>87</v>
      </c>
      <c r="G110" s="53">
        <v>3.2</v>
      </c>
      <c r="H110" s="53">
        <v>7.9</v>
      </c>
      <c r="I110" s="87">
        <f>H110-G110</f>
        <v>4.7</v>
      </c>
      <c r="J110" s="54"/>
    </row>
    <row r="111" spans="1:15" x14ac:dyDescent="0.25">
      <c r="A111" s="64" t="s">
        <v>88</v>
      </c>
      <c r="B111" s="53">
        <v>2.35</v>
      </c>
      <c r="C111" s="53">
        <v>6.35</v>
      </c>
      <c r="D111" s="87">
        <f>C111-B111</f>
        <v>3.9999999999999996</v>
      </c>
      <c r="F111" s="64" t="s">
        <v>88</v>
      </c>
      <c r="G111" s="53">
        <v>2.35</v>
      </c>
      <c r="H111" s="53">
        <v>6.35</v>
      </c>
      <c r="I111" s="87">
        <f>H111-G111</f>
        <v>3.9999999999999996</v>
      </c>
      <c r="J111" s="54"/>
    </row>
    <row r="112" spans="1:15" x14ac:dyDescent="0.25">
      <c r="A112" s="64" t="s">
        <v>94</v>
      </c>
      <c r="B112" s="53" t="s">
        <v>129</v>
      </c>
      <c r="C112" s="53" t="s">
        <v>129</v>
      </c>
      <c r="D112" s="87" t="s">
        <v>129</v>
      </c>
      <c r="F112" s="64" t="s">
        <v>94</v>
      </c>
      <c r="G112" s="53" t="s">
        <v>129</v>
      </c>
      <c r="H112" s="53" t="s">
        <v>129</v>
      </c>
      <c r="I112" s="87" t="s">
        <v>129</v>
      </c>
      <c r="J112" s="54"/>
    </row>
    <row r="113" spans="1:11" ht="15.75" thickBot="1" x14ac:dyDescent="0.3">
      <c r="A113" s="56" t="s">
        <v>89</v>
      </c>
      <c r="B113" s="97" t="s">
        <v>129</v>
      </c>
      <c r="C113" s="97" t="s">
        <v>129</v>
      </c>
      <c r="D113" s="98" t="s">
        <v>129</v>
      </c>
      <c r="F113" s="56" t="s">
        <v>89</v>
      </c>
      <c r="G113" s="97" t="s">
        <v>129</v>
      </c>
      <c r="H113" s="97" t="s">
        <v>129</v>
      </c>
      <c r="I113" s="98" t="s">
        <v>129</v>
      </c>
      <c r="J113" s="54"/>
    </row>
    <row r="114" spans="1:11" ht="15.75" thickBot="1" x14ac:dyDescent="0.3">
      <c r="A114" s="64"/>
      <c r="B114" s="53"/>
      <c r="C114" s="53"/>
      <c r="D114" s="87"/>
      <c r="F114" s="64"/>
      <c r="G114" s="53"/>
      <c r="H114" s="53"/>
      <c r="I114" s="87"/>
      <c r="J114" s="54"/>
    </row>
    <row r="115" spans="1:11" x14ac:dyDescent="0.25">
      <c r="A115" s="81" t="s">
        <v>130</v>
      </c>
      <c r="B115" s="99"/>
      <c r="C115" s="99"/>
      <c r="D115" s="100"/>
      <c r="F115" s="81" t="s">
        <v>130</v>
      </c>
      <c r="G115" s="99"/>
      <c r="H115" s="99"/>
      <c r="I115" s="100"/>
      <c r="J115" s="54"/>
    </row>
    <row r="116" spans="1:11" x14ac:dyDescent="0.25">
      <c r="A116" s="64" t="s">
        <v>84</v>
      </c>
      <c r="B116" s="24">
        <f>((D107*Input!$B$33)+B107)*Input!B45</f>
        <v>2.177</v>
      </c>
      <c r="C116" s="55" t="s">
        <v>131</v>
      </c>
      <c r="D116" s="84"/>
      <c r="E116" s="53"/>
      <c r="F116" s="64" t="s">
        <v>84</v>
      </c>
      <c r="G116" s="24">
        <f>((I107*Input!$B$39)+G107)*Input!B45</f>
        <v>2.0979999999999999</v>
      </c>
      <c r="H116" s="55" t="s">
        <v>131</v>
      </c>
      <c r="I116" s="84"/>
      <c r="J116" s="54"/>
      <c r="K116" s="124"/>
    </row>
    <row r="117" spans="1:11" x14ac:dyDescent="0.25">
      <c r="A117" s="64" t="s">
        <v>85</v>
      </c>
      <c r="B117" s="24">
        <f>((D108*Input!$B$33)+B108)*Input!B46</f>
        <v>3.8475999999999999</v>
      </c>
      <c r="C117" s="55" t="s">
        <v>131</v>
      </c>
      <c r="D117" s="84"/>
      <c r="E117" s="63"/>
      <c r="F117" s="64" t="s">
        <v>85</v>
      </c>
      <c r="G117" s="24">
        <f>((I108*Input!$B$39)+G108)*Input!B46</f>
        <v>3.6223999999999998</v>
      </c>
      <c r="H117" s="55" t="s">
        <v>131</v>
      </c>
      <c r="I117" s="84"/>
      <c r="J117" s="54"/>
      <c r="K117" s="125"/>
    </row>
    <row r="118" spans="1:11" x14ac:dyDescent="0.25">
      <c r="A118" s="64" t="s">
        <v>86</v>
      </c>
      <c r="B118" s="24">
        <f>((D109*Input!$B$33)+B109)*Input!B47</f>
        <v>0</v>
      </c>
      <c r="C118" s="55" t="s">
        <v>131</v>
      </c>
      <c r="D118" s="84"/>
      <c r="E118" s="63"/>
      <c r="F118" s="64" t="s">
        <v>86</v>
      </c>
      <c r="G118" s="24">
        <f>((I109*Input!$B$39)+G109)*Input!B47</f>
        <v>0</v>
      </c>
      <c r="H118" s="55" t="s">
        <v>131</v>
      </c>
      <c r="I118" s="84"/>
      <c r="J118" s="53"/>
      <c r="K118" s="125"/>
    </row>
    <row r="119" spans="1:11" x14ac:dyDescent="0.25">
      <c r="A119" s="64" t="s">
        <v>87</v>
      </c>
      <c r="B119" s="24">
        <f>((D110*Input!$B$33)+B110)*Input!B48</f>
        <v>0</v>
      </c>
      <c r="C119" s="55" t="s">
        <v>131</v>
      </c>
      <c r="D119" s="84"/>
      <c r="E119" s="63"/>
      <c r="F119" s="64" t="s">
        <v>87</v>
      </c>
      <c r="G119" s="24">
        <f>((I110*Input!$B$39)+G110)*Input!B48</f>
        <v>0</v>
      </c>
      <c r="H119" s="55" t="s">
        <v>131</v>
      </c>
      <c r="I119" s="84"/>
      <c r="J119" s="53"/>
      <c r="K119" s="125"/>
    </row>
    <row r="120" spans="1:11" x14ac:dyDescent="0.25">
      <c r="A120" s="64" t="s">
        <v>88</v>
      </c>
      <c r="B120" s="24">
        <f>((D111*Input!$B$33)+B111)*Input!B49</f>
        <v>4.43</v>
      </c>
      <c r="C120" s="55" t="s">
        <v>131</v>
      </c>
      <c r="D120" s="84"/>
      <c r="E120" s="63"/>
      <c r="F120" s="64" t="s">
        <v>88</v>
      </c>
      <c r="G120" s="24">
        <f>((I111*Input!$B$39)+G111)*Input!B49</f>
        <v>4.2699999999999996</v>
      </c>
      <c r="H120" s="55" t="s">
        <v>131</v>
      </c>
      <c r="I120" s="84"/>
      <c r="J120" s="53"/>
      <c r="K120" s="125"/>
    </row>
    <row r="121" spans="1:11" x14ac:dyDescent="0.25">
      <c r="A121" s="64" t="s">
        <v>94</v>
      </c>
      <c r="B121" s="24" t="e">
        <f>((D112*Input!$B$33)+B112)*Input!B50</f>
        <v>#VALUE!</v>
      </c>
      <c r="C121" s="55" t="s">
        <v>131</v>
      </c>
      <c r="D121" s="84"/>
      <c r="E121" s="63"/>
      <c r="F121" s="64" t="s">
        <v>94</v>
      </c>
      <c r="G121" s="24" t="e">
        <f>((I112*Input!$B$39)+G112)*Input!B50</f>
        <v>#VALUE!</v>
      </c>
      <c r="H121" s="55" t="s">
        <v>131</v>
      </c>
      <c r="I121" s="84"/>
      <c r="J121" s="53"/>
      <c r="K121" s="125"/>
    </row>
    <row r="122" spans="1:11" ht="15.75" thickBot="1" x14ac:dyDescent="0.3">
      <c r="A122" s="56" t="s">
        <v>89</v>
      </c>
      <c r="B122" s="90" t="e">
        <f>((D113*Input!$B$33)+B113)*Input!B51</f>
        <v>#VALUE!</v>
      </c>
      <c r="C122" s="94" t="s">
        <v>131</v>
      </c>
      <c r="D122" s="92"/>
      <c r="E122" s="63"/>
      <c r="F122" s="56" t="s">
        <v>89</v>
      </c>
      <c r="G122" s="90" t="e">
        <f>((I113*Input!$B$39)+G113)*Input!B51</f>
        <v>#VALUE!</v>
      </c>
      <c r="H122" s="94" t="s">
        <v>131</v>
      </c>
      <c r="I122" s="92"/>
      <c r="J122" s="53"/>
      <c r="K122" s="125"/>
    </row>
    <row r="123" spans="1:11" ht="15.75" thickBot="1" x14ac:dyDescent="0.3">
      <c r="A123" s="64"/>
      <c r="C123" s="55"/>
      <c r="D123" s="84"/>
      <c r="E123" s="63"/>
      <c r="F123" s="64"/>
      <c r="H123" s="55"/>
      <c r="I123" s="84"/>
      <c r="J123" s="53"/>
      <c r="K123" s="125"/>
    </row>
    <row r="124" spans="1:11" x14ac:dyDescent="0.25">
      <c r="A124" s="81" t="s">
        <v>61</v>
      </c>
      <c r="B124" s="82"/>
      <c r="C124" s="101"/>
      <c r="D124" s="83"/>
      <c r="F124" s="81" t="s">
        <v>61</v>
      </c>
      <c r="G124" s="82"/>
      <c r="H124" s="101"/>
      <c r="I124" s="83"/>
      <c r="J124" s="53"/>
    </row>
    <row r="125" spans="1:11" ht="15.75" thickBot="1" x14ac:dyDescent="0.3">
      <c r="A125" s="56" t="s">
        <v>132</v>
      </c>
      <c r="B125" s="90">
        <f>(Input!$B$53*Input!$C$53+Input!$B$54*Input!$C$54)/100</f>
        <v>20.204999999999998</v>
      </c>
      <c r="C125" s="94" t="s">
        <v>11</v>
      </c>
      <c r="D125" s="92"/>
      <c r="F125" s="56" t="s">
        <v>132</v>
      </c>
      <c r="G125" s="90">
        <f>(Input!$B$53*Input!$C$53+Input!$B$54*Input!$C$54)/100</f>
        <v>20.204999999999998</v>
      </c>
      <c r="H125" s="94" t="s">
        <v>11</v>
      </c>
      <c r="I125" s="92"/>
      <c r="J125" s="53"/>
    </row>
    <row r="126" spans="1:11" ht="15.75" thickBot="1" x14ac:dyDescent="0.3">
      <c r="A126" s="64"/>
      <c r="D126" s="84"/>
      <c r="F126" s="64"/>
      <c r="I126" s="84"/>
      <c r="J126" s="54"/>
    </row>
    <row r="127" spans="1:11" x14ac:dyDescent="0.25">
      <c r="A127" s="81" t="s">
        <v>133</v>
      </c>
      <c r="B127" s="82"/>
      <c r="C127" s="82"/>
      <c r="D127" s="83"/>
      <c r="F127" s="81" t="s">
        <v>133</v>
      </c>
      <c r="G127" s="82"/>
      <c r="H127" s="82"/>
      <c r="I127" s="83"/>
      <c r="J127" s="54"/>
    </row>
    <row r="128" spans="1:11" x14ac:dyDescent="0.25">
      <c r="A128" s="86" t="s">
        <v>134</v>
      </c>
      <c r="B128" s="74" t="s">
        <v>14</v>
      </c>
      <c r="D128" s="84"/>
      <c r="F128" s="86" t="s">
        <v>134</v>
      </c>
      <c r="G128" s="74" t="s">
        <v>14</v>
      </c>
      <c r="I128" s="84"/>
      <c r="J128" s="54"/>
    </row>
    <row r="129" spans="1:11" x14ac:dyDescent="0.25">
      <c r="A129" s="64" t="s">
        <v>66</v>
      </c>
      <c r="B129" s="77">
        <f>$B$104*Input!B56/100</f>
        <v>0</v>
      </c>
      <c r="C129" s="54" t="s">
        <v>12</v>
      </c>
      <c r="D129" s="88"/>
      <c r="F129" s="64" t="s">
        <v>66</v>
      </c>
      <c r="G129" s="77">
        <f>$G$104*Input!B56/100</f>
        <v>0</v>
      </c>
      <c r="H129" s="54" t="s">
        <v>12</v>
      </c>
      <c r="I129" s="88"/>
      <c r="J129" s="54"/>
    </row>
    <row r="130" spans="1:11" x14ac:dyDescent="0.25">
      <c r="A130" s="64" t="s">
        <v>67</v>
      </c>
      <c r="B130" s="77">
        <f>$B$104*Input!B57/100</f>
        <v>0</v>
      </c>
      <c r="C130" s="54" t="s">
        <v>12</v>
      </c>
      <c r="D130" s="88"/>
      <c r="F130" s="64" t="s">
        <v>67</v>
      </c>
      <c r="G130" s="77">
        <f>$G$104*Input!B57/100</f>
        <v>0</v>
      </c>
      <c r="H130" s="54" t="s">
        <v>12</v>
      </c>
      <c r="I130" s="88"/>
      <c r="J130" s="54"/>
    </row>
    <row r="131" spans="1:11" x14ac:dyDescent="0.25">
      <c r="A131" s="64" t="s">
        <v>68</v>
      </c>
      <c r="B131" s="77">
        <f>$B$104*Input!B58/100</f>
        <v>0</v>
      </c>
      <c r="C131" s="54" t="s">
        <v>12</v>
      </c>
      <c r="D131" s="88"/>
      <c r="F131" s="64" t="s">
        <v>68</v>
      </c>
      <c r="G131" s="77">
        <f>$G$104*Input!B58/100</f>
        <v>0</v>
      </c>
      <c r="H131" s="54" t="s">
        <v>12</v>
      </c>
      <c r="I131" s="88"/>
      <c r="J131" s="54"/>
    </row>
    <row r="132" spans="1:11" x14ac:dyDescent="0.25">
      <c r="A132" s="64" t="s">
        <v>69</v>
      </c>
      <c r="B132" s="77">
        <f>$B$104*Input!B59/100</f>
        <v>109.071</v>
      </c>
      <c r="C132" s="54" t="s">
        <v>12</v>
      </c>
      <c r="D132" s="88"/>
      <c r="F132" s="64" t="s">
        <v>69</v>
      </c>
      <c r="G132" s="77">
        <f>$G$104*Input!B59/100</f>
        <v>49.32432</v>
      </c>
      <c r="H132" s="54" t="s">
        <v>12</v>
      </c>
      <c r="I132" s="88"/>
      <c r="J132" s="54"/>
    </row>
    <row r="133" spans="1:11" ht="15.75" thickBot="1" x14ac:dyDescent="0.3">
      <c r="A133" s="56" t="s">
        <v>70</v>
      </c>
      <c r="B133" s="102">
        <f>$B$104*Input!B60/100</f>
        <v>109.071</v>
      </c>
      <c r="C133" s="103" t="s">
        <v>12</v>
      </c>
      <c r="D133" s="104"/>
      <c r="F133" s="56" t="s">
        <v>70</v>
      </c>
      <c r="G133" s="102">
        <f>$G$104*Input!B60/100</f>
        <v>49.32432</v>
      </c>
      <c r="H133" s="103" t="s">
        <v>12</v>
      </c>
      <c r="I133" s="104"/>
      <c r="J133" s="54"/>
    </row>
    <row r="134" spans="1:11" ht="15.75" thickBot="1" x14ac:dyDescent="0.3">
      <c r="A134" s="64"/>
      <c r="B134" s="57"/>
      <c r="C134" s="58"/>
      <c r="D134" s="88"/>
      <c r="F134" s="64"/>
      <c r="G134" s="57"/>
      <c r="H134" s="58"/>
      <c r="I134" s="88"/>
      <c r="J134" s="54"/>
    </row>
    <row r="135" spans="1:11" x14ac:dyDescent="0.25">
      <c r="A135" s="81" t="s">
        <v>134</v>
      </c>
      <c r="B135" s="105" t="s">
        <v>136</v>
      </c>
      <c r="C135" s="106"/>
      <c r="D135" s="107"/>
      <c r="F135" s="81" t="s">
        <v>134</v>
      </c>
      <c r="G135" s="105" t="s">
        <v>136</v>
      </c>
      <c r="H135" s="106"/>
      <c r="I135" s="107"/>
      <c r="J135" s="54"/>
    </row>
    <row r="136" spans="1:11" x14ac:dyDescent="0.25">
      <c r="A136" s="64" t="s">
        <v>66</v>
      </c>
      <c r="B136" s="24">
        <f>Input!C56*B129</f>
        <v>0</v>
      </c>
      <c r="C136" s="58" t="s">
        <v>2</v>
      </c>
      <c r="D136" s="88"/>
      <c r="F136" s="64" t="s">
        <v>66</v>
      </c>
      <c r="G136" s="24">
        <f>Input!C56*G129</f>
        <v>0</v>
      </c>
      <c r="H136" s="58" t="s">
        <v>2</v>
      </c>
      <c r="I136" s="88"/>
      <c r="J136" s="54"/>
    </row>
    <row r="137" spans="1:11" x14ac:dyDescent="0.25">
      <c r="A137" s="64" t="s">
        <v>67</v>
      </c>
      <c r="B137" s="24">
        <f>Input!C57*B130</f>
        <v>0</v>
      </c>
      <c r="C137" s="58" t="s">
        <v>2</v>
      </c>
      <c r="D137" s="88"/>
      <c r="F137" s="64" t="s">
        <v>67</v>
      </c>
      <c r="G137" s="24">
        <f>Input!C57*G130</f>
        <v>0</v>
      </c>
      <c r="H137" s="58" t="s">
        <v>2</v>
      </c>
      <c r="I137" s="88"/>
      <c r="J137" s="54"/>
    </row>
    <row r="138" spans="1:11" x14ac:dyDescent="0.25">
      <c r="A138" s="64" t="s">
        <v>68</v>
      </c>
      <c r="B138" s="24">
        <f>Input!C58*B131</f>
        <v>0</v>
      </c>
      <c r="C138" s="58" t="s">
        <v>2</v>
      </c>
      <c r="D138" s="88"/>
      <c r="F138" s="64" t="s">
        <v>68</v>
      </c>
      <c r="G138" s="24">
        <f>Input!C58*G131</f>
        <v>0</v>
      </c>
      <c r="H138" s="58" t="s">
        <v>2</v>
      </c>
      <c r="I138" s="88"/>
      <c r="J138" s="54"/>
    </row>
    <row r="139" spans="1:11" x14ac:dyDescent="0.25">
      <c r="A139" s="64" t="s">
        <v>69</v>
      </c>
      <c r="B139" s="24">
        <f>Input!C59*B132</f>
        <v>3817.4850000000001</v>
      </c>
      <c r="C139" s="58" t="s">
        <v>2</v>
      </c>
      <c r="D139" s="88"/>
      <c r="F139" s="64" t="s">
        <v>69</v>
      </c>
      <c r="G139" s="24">
        <f>Input!C59*G132</f>
        <v>1726.3512000000001</v>
      </c>
      <c r="H139" s="58" t="s">
        <v>2</v>
      </c>
      <c r="I139" s="88"/>
      <c r="J139" s="54"/>
    </row>
    <row r="140" spans="1:11" x14ac:dyDescent="0.25">
      <c r="A140" s="64" t="s">
        <v>70</v>
      </c>
      <c r="B140" s="24">
        <f>Input!C60*B133</f>
        <v>3272.13</v>
      </c>
      <c r="C140" s="58" t="s">
        <v>2</v>
      </c>
      <c r="D140" s="88"/>
      <c r="E140" s="58"/>
      <c r="F140" s="64" t="s">
        <v>70</v>
      </c>
      <c r="G140" s="24">
        <f>Input!C60*G133</f>
        <v>1479.7296000000001</v>
      </c>
      <c r="H140" s="58" t="s">
        <v>2</v>
      </c>
      <c r="I140" s="88"/>
      <c r="J140" s="54"/>
      <c r="K140" s="124"/>
    </row>
    <row r="141" spans="1:11" ht="15.75" thickBot="1" x14ac:dyDescent="0.3">
      <c r="A141" s="56" t="s">
        <v>135</v>
      </c>
      <c r="B141" s="90">
        <f>SUM(B136:B140)</f>
        <v>7089.6149999999998</v>
      </c>
      <c r="C141" s="108" t="s">
        <v>2</v>
      </c>
      <c r="D141" s="104"/>
      <c r="E141" s="58"/>
      <c r="F141" s="56" t="s">
        <v>135</v>
      </c>
      <c r="G141" s="90">
        <f>SUM(G136:G140)</f>
        <v>3206.0808000000002</v>
      </c>
      <c r="H141" s="108" t="s">
        <v>2</v>
      </c>
      <c r="I141" s="104"/>
      <c r="J141" s="54"/>
      <c r="K141" s="124"/>
    </row>
    <row r="142" spans="1:11" ht="15.75" thickBot="1" x14ac:dyDescent="0.3">
      <c r="A142" s="64"/>
      <c r="B142" s="57"/>
      <c r="C142" s="58"/>
      <c r="D142" s="88"/>
      <c r="E142" s="58"/>
      <c r="F142" s="64"/>
      <c r="G142" s="57"/>
      <c r="H142" s="58"/>
      <c r="I142" s="88"/>
      <c r="J142" s="54"/>
      <c r="K142" s="124"/>
    </row>
    <row r="143" spans="1:11" x14ac:dyDescent="0.25">
      <c r="A143" s="81" t="s">
        <v>137</v>
      </c>
      <c r="B143" s="82"/>
      <c r="C143" s="82"/>
      <c r="D143" s="83"/>
      <c r="E143" s="58"/>
      <c r="F143" s="81" t="s">
        <v>137</v>
      </c>
      <c r="G143" s="82"/>
      <c r="H143" s="82"/>
      <c r="I143" s="83"/>
      <c r="J143" s="54"/>
      <c r="K143" s="124"/>
    </row>
    <row r="144" spans="1:11" x14ac:dyDescent="0.25">
      <c r="A144" s="86" t="s">
        <v>96</v>
      </c>
      <c r="C144" s="65"/>
      <c r="D144" s="84"/>
      <c r="E144" s="58"/>
      <c r="F144" s="86" t="s">
        <v>96</v>
      </c>
      <c r="H144" s="65"/>
      <c r="I144" s="84"/>
      <c r="J144" s="54"/>
      <c r="K144" s="124"/>
    </row>
    <row r="145" spans="1:11" x14ac:dyDescent="0.25">
      <c r="A145" s="64" t="s">
        <v>138</v>
      </c>
      <c r="B145" s="79">
        <f>Input!$B$68*Input!$B$36</f>
        <v>15</v>
      </c>
      <c r="C145" s="54" t="s">
        <v>3</v>
      </c>
      <c r="D145" s="84"/>
      <c r="E145" s="58"/>
      <c r="F145" s="64" t="s">
        <v>138</v>
      </c>
      <c r="G145" s="79">
        <f>Input!$B$68*Input!$B$42</f>
        <v>6.8100000000000005</v>
      </c>
      <c r="H145" s="54" t="s">
        <v>3</v>
      </c>
      <c r="I145" s="84"/>
      <c r="J145" s="54"/>
      <c r="K145" s="124"/>
    </row>
    <row r="146" spans="1:11" ht="15.75" thickBot="1" x14ac:dyDescent="0.3">
      <c r="A146" s="56" t="s">
        <v>139</v>
      </c>
      <c r="B146" s="90">
        <f>B145*B125</f>
        <v>303.07499999999999</v>
      </c>
      <c r="C146" s="103" t="s">
        <v>2</v>
      </c>
      <c r="D146" s="92"/>
      <c r="E146" s="58"/>
      <c r="F146" s="56" t="s">
        <v>139</v>
      </c>
      <c r="G146" s="90">
        <f>G145*G125</f>
        <v>137.59604999999999</v>
      </c>
      <c r="H146" s="103" t="s">
        <v>2</v>
      </c>
      <c r="I146" s="92"/>
      <c r="J146" s="54"/>
      <c r="K146" s="124"/>
    </row>
    <row r="147" spans="1:11" ht="15.75" thickBot="1" x14ac:dyDescent="0.3">
      <c r="A147" s="64"/>
      <c r="D147" s="84"/>
      <c r="F147" s="64"/>
      <c r="I147" s="84"/>
      <c r="J147" s="54"/>
    </row>
    <row r="148" spans="1:11" x14ac:dyDescent="0.25">
      <c r="A148" s="81" t="s">
        <v>84</v>
      </c>
      <c r="B148" s="82"/>
      <c r="C148" s="109"/>
      <c r="D148" s="83"/>
      <c r="F148" s="81" t="s">
        <v>84</v>
      </c>
      <c r="G148" s="82"/>
      <c r="H148" s="109"/>
      <c r="I148" s="83"/>
      <c r="J148" s="54"/>
    </row>
    <row r="149" spans="1:11" x14ac:dyDescent="0.25">
      <c r="A149" s="64" t="s">
        <v>148</v>
      </c>
      <c r="B149" s="77">
        <f>B104/B116</f>
        <v>100.20303169499311</v>
      </c>
      <c r="C149" s="62" t="s">
        <v>3</v>
      </c>
      <c r="D149" s="84"/>
      <c r="F149" s="64" t="s">
        <v>148</v>
      </c>
      <c r="G149" s="77">
        <f>G104/G116</f>
        <v>47.020324118207817</v>
      </c>
      <c r="H149" s="62" t="s">
        <v>3</v>
      </c>
      <c r="I149" s="84"/>
      <c r="J149" s="54"/>
    </row>
    <row r="150" spans="1:11" x14ac:dyDescent="0.25">
      <c r="A150" s="64" t="s">
        <v>140</v>
      </c>
      <c r="B150" s="54">
        <v>6</v>
      </c>
      <c r="C150" s="55" t="s">
        <v>10</v>
      </c>
      <c r="D150" s="84"/>
      <c r="F150" s="64" t="s">
        <v>140</v>
      </c>
      <c r="G150" s="54">
        <v>6</v>
      </c>
      <c r="H150" s="55" t="s">
        <v>10</v>
      </c>
      <c r="I150" s="84"/>
      <c r="J150" s="54"/>
    </row>
    <row r="151" spans="1:11" x14ac:dyDescent="0.25">
      <c r="A151" s="64" t="s">
        <v>141</v>
      </c>
      <c r="B151" s="78">
        <f>Input!$B$64*B149</f>
        <v>300.60909508497934</v>
      </c>
      <c r="C151" s="62" t="s">
        <v>2</v>
      </c>
      <c r="D151" s="84"/>
      <c r="F151" s="64" t="s">
        <v>141</v>
      </c>
      <c r="G151" s="78">
        <f>Input!$B$64*G149</f>
        <v>141.06097235462346</v>
      </c>
      <c r="H151" s="62" t="s">
        <v>2</v>
      </c>
      <c r="I151" s="84"/>
      <c r="J151" s="54"/>
    </row>
    <row r="152" spans="1:11" x14ac:dyDescent="0.25">
      <c r="A152" s="64" t="s">
        <v>142</v>
      </c>
      <c r="B152" s="24">
        <f>B149*B125</f>
        <v>2024.6022553973357</v>
      </c>
      <c r="C152" s="62" t="s">
        <v>2</v>
      </c>
      <c r="D152" s="84"/>
      <c r="F152" s="64" t="s">
        <v>142</v>
      </c>
      <c r="G152" s="24">
        <f>G149*G125</f>
        <v>950.04564880838882</v>
      </c>
      <c r="H152" s="62" t="s">
        <v>2</v>
      </c>
      <c r="I152" s="84"/>
      <c r="J152" s="54"/>
    </row>
    <row r="153" spans="1:11" x14ac:dyDescent="0.25">
      <c r="A153" s="64" t="s">
        <v>143</v>
      </c>
      <c r="B153" s="24">
        <f>+B152+B151</f>
        <v>2325.2113504823151</v>
      </c>
      <c r="C153" s="62" t="s">
        <v>2</v>
      </c>
      <c r="D153" s="89"/>
      <c r="F153" s="64" t="s">
        <v>143</v>
      </c>
      <c r="G153" s="24">
        <f>+G152+G151</f>
        <v>1091.1066211630123</v>
      </c>
      <c r="H153" s="62" t="s">
        <v>2</v>
      </c>
      <c r="I153" s="89"/>
      <c r="J153" s="54"/>
    </row>
    <row r="154" spans="1:11" ht="15.75" thickBot="1" x14ac:dyDescent="0.3">
      <c r="A154" s="56" t="s">
        <v>144</v>
      </c>
      <c r="B154" s="90">
        <f>+B153/B104</f>
        <v>10.659163987138262</v>
      </c>
      <c r="C154" s="91" t="s">
        <v>9</v>
      </c>
      <c r="D154" s="110"/>
      <c r="F154" s="56" t="s">
        <v>144</v>
      </c>
      <c r="G154" s="90">
        <f>+G153/G104</f>
        <v>11.060533841754051</v>
      </c>
      <c r="H154" s="91" t="s">
        <v>9</v>
      </c>
      <c r="I154" s="110"/>
      <c r="J154" s="54"/>
    </row>
    <row r="155" spans="1:11" ht="15.75" thickBot="1" x14ac:dyDescent="0.3">
      <c r="A155" s="64"/>
      <c r="C155" s="62"/>
      <c r="D155" s="89"/>
      <c r="F155" s="64"/>
      <c r="H155" s="62"/>
      <c r="I155" s="89"/>
      <c r="J155" s="54"/>
    </row>
    <row r="156" spans="1:11" x14ac:dyDescent="0.25">
      <c r="A156" s="81" t="s">
        <v>85</v>
      </c>
      <c r="B156" s="82"/>
      <c r="C156" s="111"/>
      <c r="D156" s="112"/>
      <c r="F156" s="81" t="s">
        <v>85</v>
      </c>
      <c r="G156" s="82"/>
      <c r="H156" s="111"/>
      <c r="I156" s="112"/>
      <c r="J156" s="54"/>
    </row>
    <row r="157" spans="1:11" x14ac:dyDescent="0.25">
      <c r="A157" s="64" t="s">
        <v>148</v>
      </c>
      <c r="B157" s="77">
        <f>B104/B117</f>
        <v>56.695602453477498</v>
      </c>
      <c r="C157" s="62" t="s">
        <v>3</v>
      </c>
      <c r="D157" s="89"/>
      <c r="F157" s="64" t="s">
        <v>148</v>
      </c>
      <c r="G157" s="77">
        <f>G104/G117</f>
        <v>27.232950530035335</v>
      </c>
      <c r="H157" s="62" t="s">
        <v>3</v>
      </c>
      <c r="I157" s="89"/>
      <c r="J157" s="54"/>
    </row>
    <row r="158" spans="1:11" x14ac:dyDescent="0.25">
      <c r="A158" s="64" t="s">
        <v>145</v>
      </c>
      <c r="B158" s="78">
        <f>Input!$B$63*B157</f>
        <v>1984.3460858717124</v>
      </c>
      <c r="C158" s="62" t="s">
        <v>2</v>
      </c>
      <c r="D158" s="84"/>
      <c r="F158" s="64" t="s">
        <v>145</v>
      </c>
      <c r="G158" s="78">
        <f>Input!$B$63*G157</f>
        <v>953.15326855123669</v>
      </c>
      <c r="H158" s="62" t="s">
        <v>2</v>
      </c>
      <c r="I158" s="84"/>
      <c r="J158" s="54"/>
    </row>
    <row r="159" spans="1:11" x14ac:dyDescent="0.25">
      <c r="A159" s="64" t="s">
        <v>142</v>
      </c>
      <c r="B159" s="24">
        <f>+B157*B125</f>
        <v>1145.5346475725128</v>
      </c>
      <c r="C159" s="62" t="s">
        <v>2</v>
      </c>
      <c r="D159" s="89"/>
      <c r="F159" s="64" t="s">
        <v>142</v>
      </c>
      <c r="G159" s="24">
        <f>+G157*G125</f>
        <v>550.24176545936393</v>
      </c>
      <c r="H159" s="62" t="s">
        <v>2</v>
      </c>
      <c r="I159" s="89"/>
      <c r="J159" s="54"/>
    </row>
    <row r="160" spans="1:11" x14ac:dyDescent="0.25">
      <c r="A160" s="64" t="s">
        <v>146</v>
      </c>
      <c r="B160" s="24">
        <f>+B159+B158</f>
        <v>3129.8807334442254</v>
      </c>
      <c r="C160" s="62" t="s">
        <v>2</v>
      </c>
      <c r="D160" s="89"/>
      <c r="F160" s="64" t="s">
        <v>146</v>
      </c>
      <c r="G160" s="24">
        <f>+G159+G158</f>
        <v>1503.3950340106007</v>
      </c>
      <c r="H160" s="62" t="s">
        <v>2</v>
      </c>
      <c r="I160" s="89"/>
      <c r="J160" s="54"/>
    </row>
    <row r="161" spans="1:15" ht="15.75" thickBot="1" x14ac:dyDescent="0.3">
      <c r="A161" s="56" t="s">
        <v>144</v>
      </c>
      <c r="B161" s="90">
        <f>+B160/B104</f>
        <v>14.347905187649443</v>
      </c>
      <c r="C161" s="91" t="s">
        <v>9</v>
      </c>
      <c r="D161" s="110"/>
      <c r="F161" s="56" t="s">
        <v>144</v>
      </c>
      <c r="G161" s="90">
        <f>+G160/G104</f>
        <v>15.239896201413428</v>
      </c>
      <c r="H161" s="91" t="s">
        <v>9</v>
      </c>
      <c r="I161" s="110"/>
      <c r="J161" s="54"/>
    </row>
    <row r="162" spans="1:15" ht="15.75" thickBot="1" x14ac:dyDescent="0.3">
      <c r="A162" s="64"/>
      <c r="C162" s="62"/>
      <c r="D162" s="84"/>
      <c r="F162" s="64"/>
      <c r="H162" s="62"/>
      <c r="I162" s="84"/>
      <c r="J162" s="54"/>
    </row>
    <row r="163" spans="1:15" x14ac:dyDescent="0.25">
      <c r="A163" s="81" t="s">
        <v>147</v>
      </c>
      <c r="B163" s="82"/>
      <c r="C163" s="111"/>
      <c r="D163" s="83"/>
      <c r="F163" s="81" t="s">
        <v>147</v>
      </c>
      <c r="G163" s="82"/>
      <c r="H163" s="111"/>
      <c r="I163" s="83"/>
      <c r="J163" s="54"/>
    </row>
    <row r="164" spans="1:15" x14ac:dyDescent="0.25">
      <c r="A164" s="64" t="s">
        <v>148</v>
      </c>
      <c r="B164" s="24">
        <f>B104/B120</f>
        <v>49.241986455981952</v>
      </c>
      <c r="C164" s="62" t="s">
        <v>3</v>
      </c>
      <c r="D164" s="84"/>
      <c r="F164" s="64" t="s">
        <v>148</v>
      </c>
      <c r="G164" s="24">
        <f>G104/G120</f>
        <v>23.102725995316163</v>
      </c>
      <c r="H164" s="62" t="s">
        <v>3</v>
      </c>
      <c r="I164" s="84"/>
      <c r="J164" s="57"/>
    </row>
    <row r="165" spans="1:15" x14ac:dyDescent="0.25">
      <c r="A165" s="64" t="s">
        <v>145</v>
      </c>
      <c r="B165" s="78">
        <f>(Input!$B$63*B164*Input!$B$49)+(Input!$B$47*Input!$B$66*'ASFORESEE1&amp;2 Forest Management'!B164)+('ASFORESEE1&amp;2 Forest Management'!B164*Input!$B$65*Input!$B$48)</f>
        <v>1723.4695259593684</v>
      </c>
      <c r="C165" s="62" t="s">
        <v>2</v>
      </c>
      <c r="D165" s="84"/>
      <c r="F165" s="64" t="s">
        <v>145</v>
      </c>
      <c r="G165" s="78">
        <f>(Input!$B$63*G164*Input!$B$49)+(Input!$B$47*Input!$B$66*'ASFORESEE1&amp;2 Forest Management'!G164)+('ASFORESEE1&amp;2 Forest Management'!G164*Input!$B$65*Input!$B$48)</f>
        <v>808.59540983606576</v>
      </c>
      <c r="H165" s="62" t="s">
        <v>2</v>
      </c>
      <c r="I165" s="84"/>
      <c r="J165" s="57"/>
    </row>
    <row r="166" spans="1:15" x14ac:dyDescent="0.25">
      <c r="A166" s="64" t="s">
        <v>142</v>
      </c>
      <c r="B166" s="24">
        <f>+B164*B125</f>
        <v>994.93433634311521</v>
      </c>
      <c r="C166" s="62" t="s">
        <v>2</v>
      </c>
      <c r="D166" s="84"/>
      <c r="F166" s="64" t="s">
        <v>142</v>
      </c>
      <c r="G166" s="24">
        <f>+G164*G125</f>
        <v>466.79057873536306</v>
      </c>
      <c r="H166" s="62" t="s">
        <v>2</v>
      </c>
      <c r="I166" s="84"/>
      <c r="J166" s="57"/>
    </row>
    <row r="167" spans="1:15" x14ac:dyDescent="0.25">
      <c r="A167" s="64" t="s">
        <v>149</v>
      </c>
      <c r="B167" s="24">
        <f>+B166+B165</f>
        <v>2718.4038623024835</v>
      </c>
      <c r="C167" s="62" t="s">
        <v>2</v>
      </c>
      <c r="D167" s="84"/>
      <c r="F167" s="64" t="s">
        <v>149</v>
      </c>
      <c r="G167" s="24">
        <f>+G166+G165</f>
        <v>1275.3859885714287</v>
      </c>
      <c r="H167" s="62" t="s">
        <v>2</v>
      </c>
      <c r="I167" s="84"/>
      <c r="J167" s="57"/>
    </row>
    <row r="168" spans="1:15" ht="15.75" thickBot="1" x14ac:dyDescent="0.3">
      <c r="A168" s="56" t="s">
        <v>144</v>
      </c>
      <c r="B168" s="90">
        <f>+B167/B104</f>
        <v>12.461625282167043</v>
      </c>
      <c r="C168" s="91" t="s">
        <v>9</v>
      </c>
      <c r="D168" s="92"/>
      <c r="F168" s="56" t="s">
        <v>144</v>
      </c>
      <c r="G168" s="90">
        <f>+G167/G104</f>
        <v>12.928571428571431</v>
      </c>
      <c r="H168" s="91" t="s">
        <v>9</v>
      </c>
      <c r="I168" s="92"/>
      <c r="J168" s="57"/>
    </row>
    <row r="169" spans="1:15" ht="15.75" thickBot="1" x14ac:dyDescent="0.3">
      <c r="A169" s="64"/>
      <c r="C169" s="62"/>
      <c r="D169" s="84"/>
      <c r="F169" s="64"/>
      <c r="H169" s="62"/>
      <c r="I169" s="84"/>
      <c r="J169" s="57"/>
      <c r="K169" s="122"/>
      <c r="L169" s="113"/>
      <c r="M169" s="74"/>
    </row>
    <row r="170" spans="1:15" ht="15.75" x14ac:dyDescent="0.25">
      <c r="A170" s="81" t="s">
        <v>162</v>
      </c>
      <c r="B170" s="82"/>
      <c r="C170" s="111"/>
      <c r="D170" s="112"/>
      <c r="F170" s="81" t="s">
        <v>162</v>
      </c>
      <c r="G170" s="82"/>
      <c r="H170" s="111"/>
      <c r="I170" s="112"/>
      <c r="J170" s="57"/>
      <c r="K170" s="126"/>
      <c r="L170" s="119"/>
      <c r="M170" s="75"/>
    </row>
    <row r="171" spans="1:15" s="75" customFormat="1" ht="15.75" x14ac:dyDescent="0.25">
      <c r="A171" s="64" t="s">
        <v>150</v>
      </c>
      <c r="B171" s="78">
        <f>+B151+B165+B158</f>
        <v>4008.4247069160601</v>
      </c>
      <c r="C171" s="62" t="s">
        <v>2</v>
      </c>
      <c r="D171" s="89"/>
      <c r="E171" s="54"/>
      <c r="F171" s="64" t="s">
        <v>150</v>
      </c>
      <c r="G171" s="78">
        <f>+G151+G165+G158</f>
        <v>1902.8096507419259</v>
      </c>
      <c r="H171" s="62" t="s">
        <v>2</v>
      </c>
      <c r="I171" s="89"/>
      <c r="K171" s="127"/>
      <c r="L171" s="128"/>
      <c r="M171" s="129"/>
      <c r="N171" s="118"/>
      <c r="O171" s="119"/>
    </row>
    <row r="172" spans="1:15" s="75" customFormat="1" ht="15.75" x14ac:dyDescent="0.25">
      <c r="A172" s="64" t="s">
        <v>151</v>
      </c>
      <c r="B172" s="78">
        <f>+B152+B159+B166+B146</f>
        <v>4468.1462393129632</v>
      </c>
      <c r="C172" s="62" t="s">
        <v>2</v>
      </c>
      <c r="D172" s="89"/>
      <c r="E172" s="54"/>
      <c r="F172" s="64" t="s">
        <v>151</v>
      </c>
      <c r="G172" s="78">
        <f>+G152+G159+G166+G146</f>
        <v>2104.6740430031159</v>
      </c>
      <c r="H172" s="62" t="s">
        <v>2</v>
      </c>
      <c r="I172" s="89"/>
      <c r="K172" s="123"/>
      <c r="L172" s="59"/>
      <c r="M172" s="54"/>
      <c r="N172" s="118"/>
      <c r="O172" s="119"/>
    </row>
    <row r="173" spans="1:15" x14ac:dyDescent="0.25">
      <c r="A173" s="64" t="s">
        <v>152</v>
      </c>
      <c r="B173" s="78">
        <f>+B172+B171</f>
        <v>8476.5709462290233</v>
      </c>
      <c r="C173" s="62" t="s">
        <v>2</v>
      </c>
      <c r="D173" s="84"/>
      <c r="F173" s="64" t="s">
        <v>152</v>
      </c>
      <c r="G173" s="78">
        <f>+G172+G171</f>
        <v>4007.4836937450418</v>
      </c>
      <c r="H173" s="62" t="s">
        <v>2</v>
      </c>
      <c r="I173" s="84"/>
      <c r="J173" s="54"/>
    </row>
    <row r="174" spans="1:15" x14ac:dyDescent="0.25">
      <c r="A174" s="64" t="s">
        <v>153</v>
      </c>
      <c r="B174" s="80">
        <v>0.1</v>
      </c>
      <c r="C174" s="62" t="s">
        <v>0</v>
      </c>
      <c r="D174" s="84"/>
      <c r="F174" s="64" t="s">
        <v>153</v>
      </c>
      <c r="G174" s="80">
        <v>0.1</v>
      </c>
      <c r="H174" s="62" t="s">
        <v>0</v>
      </c>
      <c r="I174" s="84"/>
      <c r="J174" s="54"/>
    </row>
    <row r="175" spans="1:15" x14ac:dyDescent="0.25">
      <c r="A175" s="64" t="s">
        <v>154</v>
      </c>
      <c r="B175" s="78">
        <f>B174*B173</f>
        <v>847.65709462290238</v>
      </c>
      <c r="C175" s="62" t="s">
        <v>2</v>
      </c>
      <c r="D175" s="84"/>
      <c r="F175" s="64" t="s">
        <v>154</v>
      </c>
      <c r="G175" s="78">
        <f>G174*G173</f>
        <v>400.74836937450419</v>
      </c>
      <c r="H175" s="62" t="s">
        <v>2</v>
      </c>
      <c r="I175" s="84"/>
      <c r="J175" s="57"/>
    </row>
    <row r="176" spans="1:15" x14ac:dyDescent="0.25">
      <c r="A176" s="64" t="s">
        <v>155</v>
      </c>
      <c r="B176" s="78">
        <f>SUM(B173:B175)</f>
        <v>9324.3280408519258</v>
      </c>
      <c r="C176" s="62" t="s">
        <v>2</v>
      </c>
      <c r="D176" s="84"/>
      <c r="F176" s="64" t="s">
        <v>155</v>
      </c>
      <c r="G176" s="78">
        <f>SUM(G173:G175)</f>
        <v>4408.3320631195456</v>
      </c>
      <c r="H176" s="62" t="s">
        <v>2</v>
      </c>
      <c r="I176" s="84"/>
      <c r="J176" s="57"/>
    </row>
    <row r="177" spans="1:10" x14ac:dyDescent="0.25">
      <c r="A177" s="64" t="s">
        <v>144</v>
      </c>
      <c r="B177" s="24">
        <f>+B176/B104</f>
        <v>42.744304356116317</v>
      </c>
      <c r="C177" s="62" t="s">
        <v>9</v>
      </c>
      <c r="D177" s="84"/>
      <c r="F177" s="64" t="s">
        <v>144</v>
      </c>
      <c r="G177" s="24">
        <f>+G176/G104</f>
        <v>44.687205653514795</v>
      </c>
      <c r="H177" s="62" t="s">
        <v>9</v>
      </c>
      <c r="I177" s="84"/>
      <c r="J177" s="57"/>
    </row>
    <row r="178" spans="1:10" ht="15.75" x14ac:dyDescent="0.25">
      <c r="A178" s="114" t="s">
        <v>157</v>
      </c>
      <c r="B178" s="115">
        <f>+B141-B176</f>
        <v>-2234.7130408519261</v>
      </c>
      <c r="C178" s="116" t="s">
        <v>2</v>
      </c>
      <c r="D178" s="117"/>
      <c r="E178" s="75"/>
      <c r="F178" s="114" t="s">
        <v>157</v>
      </c>
      <c r="G178" s="115">
        <f>+G141-G176</f>
        <v>-1202.2512631195455</v>
      </c>
      <c r="H178" s="116" t="s">
        <v>2</v>
      </c>
      <c r="I178" s="117"/>
      <c r="J178" s="57"/>
    </row>
    <row r="179" spans="1:10" ht="15.75" x14ac:dyDescent="0.25">
      <c r="A179" s="114" t="s">
        <v>156</v>
      </c>
      <c r="B179" s="120">
        <f>+B178/B104</f>
        <v>-10.244304356116318</v>
      </c>
      <c r="C179" s="116" t="s">
        <v>9</v>
      </c>
      <c r="D179" s="117"/>
      <c r="E179" s="75"/>
      <c r="F179" s="114" t="s">
        <v>156</v>
      </c>
      <c r="G179" s="120">
        <f>+G178/G104</f>
        <v>-12.187205653514791</v>
      </c>
      <c r="H179" s="116" t="s">
        <v>9</v>
      </c>
      <c r="I179" s="117"/>
      <c r="J179" s="54"/>
    </row>
    <row r="180" spans="1:10" x14ac:dyDescent="0.25">
      <c r="A180" s="64" t="s">
        <v>158</v>
      </c>
      <c r="B180" s="77">
        <f>B164+B157+B149+B145</f>
        <v>221.14062060445258</v>
      </c>
      <c r="C180" s="62" t="s">
        <v>3</v>
      </c>
      <c r="D180" s="84"/>
      <c r="F180" s="64" t="s">
        <v>158</v>
      </c>
      <c r="G180" s="77">
        <f>G164+G157+G149+G145</f>
        <v>104.16600064355933</v>
      </c>
      <c r="H180" s="62" t="s">
        <v>3</v>
      </c>
      <c r="I180" s="84"/>
      <c r="J180" s="54"/>
    </row>
    <row r="181" spans="1:10" ht="15.75" thickBot="1" x14ac:dyDescent="0.3">
      <c r="A181" s="56" t="s">
        <v>159</v>
      </c>
      <c r="B181" s="90">
        <f>B104/B180</f>
        <v>0.98644020896632967</v>
      </c>
      <c r="C181" s="91" t="s">
        <v>8</v>
      </c>
      <c r="D181" s="92"/>
      <c r="F181" s="56" t="s">
        <v>159</v>
      </c>
      <c r="G181" s="90">
        <f>G104/G180</f>
        <v>0.94703299916026418</v>
      </c>
      <c r="H181" s="91" t="s">
        <v>8</v>
      </c>
      <c r="I181" s="92"/>
      <c r="J181" s="54"/>
    </row>
    <row r="182" spans="1:10" x14ac:dyDescent="0.25">
      <c r="B182" s="58"/>
      <c r="C182" s="62"/>
      <c r="G182" s="58"/>
      <c r="H182" s="62"/>
      <c r="J182" s="54"/>
    </row>
    <row r="183" spans="1:10" x14ac:dyDescent="0.25">
      <c r="C183" s="62"/>
      <c r="H183" s="62"/>
      <c r="J183" s="54"/>
    </row>
    <row r="184" spans="1:10" x14ac:dyDescent="0.25">
      <c r="B184" s="58"/>
      <c r="C184" s="62"/>
      <c r="G184" s="58"/>
      <c r="H184" s="62"/>
      <c r="J184" s="54"/>
    </row>
    <row r="185" spans="1:10" x14ac:dyDescent="0.25">
      <c r="B185" s="61"/>
      <c r="C185" s="62"/>
      <c r="G185" s="61"/>
      <c r="H185" s="62"/>
      <c r="J185" s="54"/>
    </row>
    <row r="186" spans="1:10" x14ac:dyDescent="0.25">
      <c r="B186" s="58"/>
      <c r="C186" s="62"/>
      <c r="G186" s="58"/>
      <c r="H186" s="62"/>
      <c r="J186" s="54"/>
    </row>
    <row r="187" spans="1:10" x14ac:dyDescent="0.25">
      <c r="B187" s="58"/>
      <c r="C187" s="62"/>
      <c r="G187" s="58"/>
      <c r="H187" s="62"/>
      <c r="J187" s="54"/>
    </row>
    <row r="188" spans="1:10" x14ac:dyDescent="0.25">
      <c r="C188" s="62"/>
      <c r="H188" s="62"/>
      <c r="J188" s="54"/>
    </row>
    <row r="189" spans="1:10" x14ac:dyDescent="0.25">
      <c r="C189" s="62"/>
      <c r="D189" s="57"/>
      <c r="H189" s="62"/>
      <c r="I189" s="57"/>
      <c r="J189" s="54"/>
    </row>
    <row r="190" spans="1:10" x14ac:dyDescent="0.25">
      <c r="B190" s="61"/>
      <c r="C190" s="62"/>
      <c r="D190" s="57"/>
      <c r="G190" s="61"/>
      <c r="H190" s="62"/>
      <c r="I190" s="57"/>
      <c r="J190" s="54"/>
    </row>
    <row r="191" spans="1:10" x14ac:dyDescent="0.25">
      <c r="B191" s="61"/>
      <c r="C191" s="62"/>
      <c r="D191" s="57"/>
      <c r="G191" s="61"/>
      <c r="H191" s="62"/>
      <c r="I191" s="57"/>
      <c r="J191" s="54"/>
    </row>
    <row r="192" spans="1:10" x14ac:dyDescent="0.25">
      <c r="B192" s="61"/>
      <c r="C192" s="62"/>
      <c r="G192" s="61"/>
      <c r="H192" s="62"/>
      <c r="J192" s="54"/>
    </row>
    <row r="193" spans="2:10" x14ac:dyDescent="0.25">
      <c r="B193" s="61"/>
      <c r="C193" s="62"/>
      <c r="G193" s="61"/>
      <c r="H193" s="62"/>
      <c r="J193" s="54"/>
    </row>
    <row r="194" spans="2:10" x14ac:dyDescent="0.25">
      <c r="B194" s="61"/>
      <c r="C194" s="62"/>
      <c r="G194" s="61"/>
      <c r="H194" s="62"/>
      <c r="J194" s="57"/>
    </row>
    <row r="195" spans="2:10" x14ac:dyDescent="0.25">
      <c r="B195" s="58"/>
      <c r="C195" s="62"/>
      <c r="G195" s="58"/>
      <c r="H195" s="62"/>
      <c r="J195" s="57"/>
    </row>
    <row r="196" spans="2:10" x14ac:dyDescent="0.25">
      <c r="C196" s="62"/>
      <c r="H196" s="62"/>
      <c r="J196" s="57"/>
    </row>
    <row r="197" spans="2:10" x14ac:dyDescent="0.25">
      <c r="B197" s="61"/>
      <c r="C197" s="62"/>
      <c r="G197" s="61"/>
      <c r="H197" s="62"/>
      <c r="J197" s="54"/>
    </row>
    <row r="198" spans="2:10" x14ac:dyDescent="0.25">
      <c r="B198" s="58"/>
      <c r="C198" s="62"/>
      <c r="G198" s="58"/>
      <c r="H198" s="62"/>
      <c r="J198" s="54"/>
    </row>
    <row r="199" spans="2:10" x14ac:dyDescent="0.25">
      <c r="B199" s="61"/>
      <c r="C199" s="62"/>
      <c r="G199" s="61"/>
      <c r="H199" s="62"/>
      <c r="J199" s="54"/>
    </row>
    <row r="200" spans="2:10" x14ac:dyDescent="0.25">
      <c r="B200" s="58"/>
      <c r="C200" s="62"/>
      <c r="G200" s="58"/>
      <c r="H200" s="62"/>
      <c r="J200" s="54"/>
    </row>
    <row r="201" spans="2:10" x14ac:dyDescent="0.25">
      <c r="B201" s="57"/>
      <c r="C201" s="62"/>
      <c r="G201" s="57"/>
      <c r="H201" s="62"/>
      <c r="J201" s="54"/>
    </row>
    <row r="202" spans="2:10" x14ac:dyDescent="0.25">
      <c r="B202" s="58"/>
      <c r="C202" s="62"/>
      <c r="G202" s="58"/>
      <c r="H202" s="62"/>
      <c r="J202" s="54"/>
    </row>
    <row r="203" spans="2:10" x14ac:dyDescent="0.25">
      <c r="J203" s="54"/>
    </row>
    <row r="204" spans="2:10" x14ac:dyDescent="0.25">
      <c r="J204" s="54"/>
    </row>
    <row r="205" spans="2:10" x14ac:dyDescent="0.25">
      <c r="J205" s="54"/>
    </row>
    <row r="206" spans="2:10" x14ac:dyDescent="0.25">
      <c r="J206" s="54"/>
    </row>
    <row r="207" spans="2:10" x14ac:dyDescent="0.25">
      <c r="J207" s="5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28"/>
  <sheetViews>
    <sheetView zoomScale="130" zoomScaleNormal="130" workbookViewId="0">
      <selection activeCell="D20" sqref="D20"/>
    </sheetView>
  </sheetViews>
  <sheetFormatPr defaultRowHeight="15" x14ac:dyDescent="0.25"/>
  <cols>
    <col min="1" max="1" width="50.42578125" style="54" customWidth="1"/>
    <col min="2" max="2" width="28.140625" style="54" bestFit="1" customWidth="1"/>
    <col min="3" max="3" width="7" style="54" bestFit="1" customWidth="1"/>
    <col min="4" max="4" width="9.28515625" style="54" bestFit="1" customWidth="1"/>
    <col min="5" max="7" width="9.140625" style="54"/>
    <col min="8" max="8" width="9.85546875" style="54" customWidth="1"/>
    <col min="9" max="9" width="9.140625" style="54"/>
    <col min="10" max="10" width="8.85546875" style="54" bestFit="1" customWidth="1"/>
    <col min="11" max="11" width="16.7109375" style="54" customWidth="1"/>
    <col min="12" max="16384" width="9.140625" style="54"/>
  </cols>
  <sheetData>
    <row r="1" spans="1:3" s="5" customFormat="1" ht="19.5" customHeight="1" x14ac:dyDescent="0.3">
      <c r="A1" s="5" t="s">
        <v>23</v>
      </c>
      <c r="B1" s="21" t="s">
        <v>34</v>
      </c>
    </row>
    <row r="2" spans="1:3" ht="15.75" thickBot="1" x14ac:dyDescent="0.3"/>
    <row r="3" spans="1:3" ht="16.5" thickBot="1" x14ac:dyDescent="0.3">
      <c r="A3" s="257" t="s">
        <v>231</v>
      </c>
      <c r="B3" s="265" t="str">
        <f>IF(Input!B4=1,"Replacement Cost--&gt; See Line 5", "Avoided Damages--&gt; see Line 25")</f>
        <v>Replacement Cost--&gt; See Line 5</v>
      </c>
      <c r="C3" s="258"/>
    </row>
    <row r="4" spans="1:3" ht="15.75" thickBot="1" x14ac:dyDescent="0.3"/>
    <row r="5" spans="1:3" s="75" customFormat="1" ht="15.75" x14ac:dyDescent="0.25">
      <c r="A5" s="238" t="s">
        <v>192</v>
      </c>
      <c r="B5" s="239"/>
      <c r="C5" s="240"/>
    </row>
    <row r="6" spans="1:3" x14ac:dyDescent="0.25">
      <c r="A6" s="241" t="s">
        <v>195</v>
      </c>
      <c r="B6" s="242" t="str">
        <f>IF(Input!B14&gt;0.2,"YES", "NO")</f>
        <v>YES</v>
      </c>
      <c r="C6" s="243"/>
    </row>
    <row r="7" spans="1:3" x14ac:dyDescent="0.25">
      <c r="A7" s="241" t="s">
        <v>194</v>
      </c>
      <c r="B7" s="244" t="str">
        <f>IF(Input!B72&gt;Input!B14,"YES","NO")</f>
        <v>NO</v>
      </c>
      <c r="C7" s="243"/>
    </row>
    <row r="8" spans="1:3" s="75" customFormat="1" ht="16.5" thickBot="1" x14ac:dyDescent="0.3">
      <c r="A8" s="245" t="s">
        <v>233</v>
      </c>
      <c r="B8" s="246" t="str">
        <f>IF(B6="NO","1 --&gt; See Line 10",IF(B7="NO","2 --&gt; See Line 15","3 --&gt; See Line 20"))</f>
        <v>2 --&gt; See Line 15</v>
      </c>
      <c r="C8" s="247"/>
    </row>
    <row r="9" spans="1:3" ht="15.75" thickBot="1" x14ac:dyDescent="0.3">
      <c r="A9" s="64"/>
      <c r="B9" s="24"/>
      <c r="C9" s="84"/>
    </row>
    <row r="10" spans="1:3" s="75" customFormat="1" ht="15.75" x14ac:dyDescent="0.25">
      <c r="A10" s="238" t="s">
        <v>248</v>
      </c>
      <c r="B10" s="248"/>
      <c r="C10" s="240"/>
    </row>
    <row r="11" spans="1:3" x14ac:dyDescent="0.25">
      <c r="A11" s="241" t="s">
        <v>196</v>
      </c>
      <c r="B11" s="259">
        <f>IF(Input!B22=0,ABS('ASFORESEE1&amp;2 Forest Management'!B7),Input!B25)</f>
        <v>4760.4547898859273</v>
      </c>
      <c r="C11" s="243" t="s">
        <v>2</v>
      </c>
    </row>
    <row r="12" spans="1:3" x14ac:dyDescent="0.25">
      <c r="A12" s="241" t="s">
        <v>197</v>
      </c>
      <c r="B12" s="259">
        <f>B11/Input!$B$11</f>
        <v>453.37664665580257</v>
      </c>
      <c r="C12" s="243" t="s">
        <v>7</v>
      </c>
    </row>
    <row r="13" spans="1:3" ht="15.75" thickBot="1" x14ac:dyDescent="0.3">
      <c r="A13" s="249" t="s">
        <v>198</v>
      </c>
      <c r="B13" s="260">
        <f>B12*(Input!$B$10/(((1+Input!$B$10)^Input!$B$9)-1))</f>
        <v>11.175699109709148</v>
      </c>
      <c r="C13" s="250" t="s">
        <v>22</v>
      </c>
    </row>
    <row r="14" spans="1:3" ht="14.25" customHeight="1" thickBot="1" x14ac:dyDescent="0.3">
      <c r="A14" s="64"/>
      <c r="B14" s="78"/>
      <c r="C14" s="84"/>
    </row>
    <row r="15" spans="1:3" s="75" customFormat="1" ht="15.75" x14ac:dyDescent="0.25">
      <c r="A15" s="238" t="s">
        <v>249</v>
      </c>
      <c r="B15" s="261"/>
      <c r="C15" s="240"/>
    </row>
    <row r="16" spans="1:3" x14ac:dyDescent="0.25">
      <c r="A16" s="241" t="s">
        <v>196</v>
      </c>
      <c r="B16" s="259">
        <f>('ASFORESEE1 Defensive Facility'!B4-'ASFORESEE1 Defensive Facility'!F4)-(IF(Input!B22=1,Input!B25,'ASFORESEE1&amp;2 Forest Management'!B7))</f>
        <v>787410.35512931051</v>
      </c>
      <c r="C16" s="243" t="s">
        <v>2</v>
      </c>
    </row>
    <row r="17" spans="1:3" x14ac:dyDescent="0.25">
      <c r="A17" s="241" t="s">
        <v>197</v>
      </c>
      <c r="B17" s="259">
        <f>B16/Input!$B$11</f>
        <v>74991.462393267662</v>
      </c>
      <c r="C17" s="243" t="s">
        <v>7</v>
      </c>
    </row>
    <row r="18" spans="1:3" ht="15.75" thickBot="1" x14ac:dyDescent="0.3">
      <c r="A18" s="249" t="s">
        <v>198</v>
      </c>
      <c r="B18" s="260">
        <f>B17*(Input!$B$10/(((1+Input!$B$10)^Input!$B$9)-1))</f>
        <v>1848.5337206626989</v>
      </c>
      <c r="C18" s="250" t="s">
        <v>22</v>
      </c>
    </row>
    <row r="19" spans="1:3" ht="15.75" thickBot="1" x14ac:dyDescent="0.3">
      <c r="A19" s="64"/>
      <c r="B19" s="78"/>
      <c r="C19" s="84"/>
    </row>
    <row r="20" spans="1:3" s="75" customFormat="1" ht="15.75" x14ac:dyDescent="0.25">
      <c r="A20" s="238" t="s">
        <v>250</v>
      </c>
      <c r="B20" s="261"/>
      <c r="C20" s="240"/>
    </row>
    <row r="21" spans="1:3" x14ac:dyDescent="0.25">
      <c r="A21" s="241" t="s">
        <v>196</v>
      </c>
      <c r="B21" s="259">
        <f>(IF(Input!B75=1,Input!B78*Input!B14,Input!B14*'ASFORESEE1 Defensive Facility'!B4))-(IF(Input!B22=1,Input!B25,'ASFORESEE1&amp;2 Forest Management'!B7))</f>
        <v>452151.53720620397</v>
      </c>
      <c r="C21" s="243" t="s">
        <v>2</v>
      </c>
    </row>
    <row r="22" spans="1:3" x14ac:dyDescent="0.25">
      <c r="A22" s="241" t="s">
        <v>197</v>
      </c>
      <c r="B22" s="259">
        <f>B21/Input!$B$11</f>
        <v>43062.051162495613</v>
      </c>
      <c r="C22" s="243" t="s">
        <v>7</v>
      </c>
    </row>
    <row r="23" spans="1:3" ht="15.75" thickBot="1" x14ac:dyDescent="0.3">
      <c r="A23" s="249" t="s">
        <v>198</v>
      </c>
      <c r="B23" s="260">
        <f>B22*(Input!$B$10/(((1+Input!$B$10)^Input!$B$9)-1))</f>
        <v>1061.4762149500598</v>
      </c>
      <c r="C23" s="250" t="s">
        <v>22</v>
      </c>
    </row>
    <row r="24" spans="1:3" ht="15.75" thickBot="1" x14ac:dyDescent="0.3">
      <c r="B24" s="78"/>
    </row>
    <row r="25" spans="1:3" s="75" customFormat="1" ht="15.75" x14ac:dyDescent="0.25">
      <c r="A25" s="251" t="s">
        <v>193</v>
      </c>
      <c r="B25" s="262"/>
      <c r="C25" s="252"/>
    </row>
    <row r="26" spans="1:3" x14ac:dyDescent="0.25">
      <c r="A26" s="253" t="s">
        <v>196</v>
      </c>
      <c r="B26" s="263">
        <f>(IF(Input!B22=0,'ASFORESEE1&amp;2 Forest Management'!B7,Input!B25))+'ASFORESEE2 Risk'!B4</f>
        <v>7917.0327252078841</v>
      </c>
      <c r="C26" s="254" t="s">
        <v>2</v>
      </c>
    </row>
    <row r="27" spans="1:3" x14ac:dyDescent="0.25">
      <c r="A27" s="253" t="s">
        <v>197</v>
      </c>
      <c r="B27" s="263">
        <f>B26/Input!$B$11</f>
        <v>754.00311668646521</v>
      </c>
      <c r="C27" s="254" t="s">
        <v>7</v>
      </c>
    </row>
    <row r="28" spans="1:3" ht="15.75" thickBot="1" x14ac:dyDescent="0.3">
      <c r="A28" s="255" t="s">
        <v>198</v>
      </c>
      <c r="B28" s="264">
        <f>B27*(Input!$B$10/(((1+Input!$B$10)^Input!$B$9)-1))</f>
        <v>18.586118235305019</v>
      </c>
      <c r="C28" s="256" t="s">
        <v>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Legend</vt:lpstr>
      <vt:lpstr>Input</vt:lpstr>
      <vt:lpstr>ASFORESEE1 Defensive Facility</vt:lpstr>
      <vt:lpstr>ASFORESEE2 Risk</vt:lpstr>
      <vt:lpstr>ASFORESEE1&amp;2 Forest Management</vt:lpstr>
      <vt:lpstr>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2019-02-01T11:38:57Z</dcterms:modified>
</cp:coreProperties>
</file>